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MO-AVD\4184 Oppdatere NKA-verktøy enkle koll-tiltak\"/>
    </mc:Choice>
  </mc:AlternateContent>
  <bookViews>
    <workbookView xWindow="120" yWindow="120" windowWidth="15480" windowHeight="11640" tabRatio="917"/>
  </bookViews>
  <sheets>
    <sheet name="Innledning" sheetId="47" r:id="rId1"/>
    <sheet name="Forutsetninger" sheetId="1" r:id="rId2"/>
    <sheet name="Sykkelparkering" sheetId="4" r:id="rId3"/>
    <sheet name="Leskur u sitteplass" sheetId="2" r:id="rId4"/>
    <sheet name="Sitteplass på hpl" sheetId="49" r:id="rId5"/>
    <sheet name="Leskur m sitteplass" sheetId="50" r:id="rId6"/>
    <sheet name="Renhold på hpl" sheetId="51" r:id="rId7"/>
    <sheet name="Fjerning av is snø på hpl" sheetId="52" r:id="rId8"/>
    <sheet name="Opphøyet hpl" sheetId="25" r:id="rId9"/>
    <sheet name="Lokalkart på hpl" sheetId="26" r:id="rId10"/>
    <sheet name="Rutekart på hpl" sheetId="42" r:id="rId11"/>
    <sheet name="Rutetabell på hpl" sheetId="27" r:id="rId12"/>
    <sheet name="Skilting i buss" sheetId="28" r:id="rId13"/>
    <sheet name="Hpl.opprop" sheetId="31" r:id="rId14"/>
    <sheet name="Pakke skilt og opprop i buss" sheetId="57" r:id="rId15"/>
    <sheet name="Destinasjonsskilt på buss" sheetId="43" r:id="rId16"/>
    <sheet name="SIS" sheetId="29" r:id="rId17"/>
    <sheet name="Avviksinformasjon høyttaler" sheetId="30" r:id="rId18"/>
    <sheet name="Pakke Lokalkart SIS høyttaler" sheetId="58" r:id="rId19"/>
    <sheet name="Belysning" sheetId="33" r:id="rId20"/>
    <sheet name="Alarmsystem på hpl" sheetId="35" r:id="rId21"/>
    <sheet name="Vektere" sheetId="34" r:id="rId22"/>
    <sheet name="Bussrenhold" sheetId="32" r:id="rId23"/>
    <sheet name="Laventrebuss" sheetId="36" r:id="rId24"/>
    <sheet name="Kantsteinstopp" sheetId="23" r:id="rId25"/>
    <sheet name="Koll.prioritering lyskryss" sheetId="38" r:id="rId26"/>
    <sheet name="Koll.prioritering Skilt" sheetId="37" r:id="rId27"/>
    <sheet name="Flytte holdeplass" sheetId="39" r:id="rId28"/>
    <sheet name="Nedlegge holdeplass" sheetId="40" r:id="rId29"/>
    <sheet name="Opprette holdeplass" sheetId="44" r:id="rId30"/>
    <sheet name="Anropstyrt holdeplass" sheetId="45" r:id="rId31"/>
  </sheets>
  <definedNames>
    <definedName name="Afaktor">Forutsetninger!$C$8</definedName>
    <definedName name="Afaktor_vekst">Forutsetninger!$C$9</definedName>
    <definedName name="Analyseperiode">Forutsetninger!$C$6</definedName>
    <definedName name="Drente">Forutsetninger!$C$4</definedName>
    <definedName name="Drente_vekst">Forutsetninger!$C$7</definedName>
    <definedName name="Skyggepris">Forutsetninger!$C$3</definedName>
    <definedName name="Vekstrate">Forutsetninger!$C$5</definedName>
  </definedNames>
  <calcPr calcId="152511"/>
</workbook>
</file>

<file path=xl/calcChain.xml><?xml version="1.0" encoding="utf-8"?>
<calcChain xmlns="http://schemas.openxmlformats.org/spreadsheetml/2006/main">
  <c r="C7" i="1" l="1"/>
  <c r="G20" i="1" l="1"/>
  <c r="B11" i="2"/>
  <c r="B25" i="44"/>
  <c r="B26" i="44" s="1"/>
  <c r="B21" i="45"/>
  <c r="B23" i="37"/>
  <c r="B48" i="58"/>
  <c r="B49" i="58"/>
  <c r="B50" i="58" s="1"/>
  <c r="B51" i="58" s="1"/>
  <c r="B20" i="58"/>
  <c r="B23" i="58" s="1"/>
  <c r="F12" i="58"/>
  <c r="F16" i="58" s="1"/>
  <c r="F17" i="58" s="1"/>
  <c r="F31" i="58" s="1"/>
  <c r="B11" i="30"/>
  <c r="B14" i="30" s="1"/>
  <c r="B15" i="30" s="1"/>
  <c r="B28" i="30" s="1"/>
  <c r="E12" i="58"/>
  <c r="E16" i="58" s="1"/>
  <c r="E17" i="58" s="1"/>
  <c r="B11" i="26"/>
  <c r="D12" i="58"/>
  <c r="D16" i="58" s="1"/>
  <c r="D17" i="58" s="1"/>
  <c r="D31" i="58" s="1"/>
  <c r="C12" i="58"/>
  <c r="B12" i="58"/>
  <c r="B16" i="58" s="1"/>
  <c r="B17" i="58" s="1"/>
  <c r="B31" i="58" s="1"/>
  <c r="B3" i="58"/>
  <c r="B11" i="57"/>
  <c r="B14" i="57" s="1"/>
  <c r="B15" i="57" s="1"/>
  <c r="B28" i="57" s="1"/>
  <c r="B18" i="57"/>
  <c r="B21" i="57" s="1"/>
  <c r="B3" i="57"/>
  <c r="B23" i="25"/>
  <c r="B24" i="25" s="1"/>
  <c r="B21" i="25"/>
  <c r="B11" i="45"/>
  <c r="B17" i="45" s="1"/>
  <c r="B18" i="45" s="1"/>
  <c r="B31" i="45" s="1"/>
  <c r="G36" i="1"/>
  <c r="B11" i="44" s="1"/>
  <c r="B22" i="36"/>
  <c r="B3" i="45"/>
  <c r="B3" i="44"/>
  <c r="B3" i="40"/>
  <c r="B3" i="39"/>
  <c r="B3" i="37"/>
  <c r="B3" i="38"/>
  <c r="B3" i="23"/>
  <c r="B3" i="36"/>
  <c r="B3" i="32"/>
  <c r="B3" i="34"/>
  <c r="B3" i="35"/>
  <c r="B3" i="33"/>
  <c r="B3" i="30"/>
  <c r="B3" i="29"/>
  <c r="B3" i="43"/>
  <c r="B3" i="31"/>
  <c r="B3" i="28"/>
  <c r="B3" i="27"/>
  <c r="B3" i="42"/>
  <c r="B3" i="26"/>
  <c r="B3" i="25"/>
  <c r="B3" i="52"/>
  <c r="B3" i="51"/>
  <c r="B3" i="50"/>
  <c r="B3" i="2"/>
  <c r="B3" i="49"/>
  <c r="B3" i="4"/>
  <c r="B23" i="38"/>
  <c r="B23" i="23"/>
  <c r="B22" i="23"/>
  <c r="B45" i="27"/>
  <c r="B46" i="27" s="1"/>
  <c r="B47" i="27" s="1"/>
  <c r="B48" i="27" s="1"/>
  <c r="B45" i="42"/>
  <c r="B46" i="42" s="1"/>
  <c r="B47" i="42" s="1"/>
  <c r="B48" i="42" s="1"/>
  <c r="B18" i="42"/>
  <c r="B21" i="42" s="1"/>
  <c r="B18" i="26"/>
  <c r="B21" i="26" s="1"/>
  <c r="B13" i="52"/>
  <c r="B16" i="52" s="1"/>
  <c r="B13" i="51"/>
  <c r="B16" i="51" s="1"/>
  <c r="B19" i="50"/>
  <c r="B22" i="50" s="1"/>
  <c r="B19" i="2"/>
  <c r="B22" i="2" s="1"/>
  <c r="B19" i="49"/>
  <c r="B22" i="49" s="1"/>
  <c r="B18" i="27"/>
  <c r="B21" i="27" s="1"/>
  <c r="B24" i="36"/>
  <c r="B25" i="36" s="1"/>
  <c r="B19" i="40"/>
  <c r="B20" i="40" s="1"/>
  <c r="B33" i="40" s="1"/>
  <c r="B24" i="37"/>
  <c r="B11" i="37"/>
  <c r="B19" i="37" s="1"/>
  <c r="B20" i="37" s="1"/>
  <c r="B33" i="37" s="1"/>
  <c r="B25" i="38"/>
  <c r="B26" i="38" s="1"/>
  <c r="B24" i="38"/>
  <c r="B11" i="38"/>
  <c r="B19" i="38" s="1"/>
  <c r="B20" i="38" s="1"/>
  <c r="B33" i="38" s="1"/>
  <c r="B24" i="23"/>
  <c r="B25" i="23" s="1"/>
  <c r="B11" i="36"/>
  <c r="B18" i="36" s="1"/>
  <c r="B19" i="36" s="1"/>
  <c r="B32" i="36" s="1"/>
  <c r="B30" i="32"/>
  <c r="B20" i="32"/>
  <c r="B23" i="32" s="1"/>
  <c r="B16" i="32"/>
  <c r="B17" i="32" s="1"/>
  <c r="B13" i="34"/>
  <c r="B16" i="34" s="1"/>
  <c r="B18" i="35"/>
  <c r="B21" i="35" s="1"/>
  <c r="B11" i="35"/>
  <c r="B14" i="35" s="1"/>
  <c r="B15" i="35" s="1"/>
  <c r="B28" i="35" s="1"/>
  <c r="B18" i="33"/>
  <c r="B21" i="33" s="1"/>
  <c r="B11" i="33"/>
  <c r="B14" i="33" s="1"/>
  <c r="B15" i="33" s="1"/>
  <c r="B28" i="33" s="1"/>
  <c r="B18" i="30"/>
  <c r="B21" i="30" s="1"/>
  <c r="B18" i="29"/>
  <c r="B21" i="29" s="1"/>
  <c r="D11" i="29"/>
  <c r="D14" i="29" s="1"/>
  <c r="D15" i="29" s="1"/>
  <c r="D28" i="29" s="1"/>
  <c r="C11" i="29"/>
  <c r="C14" i="29" s="1"/>
  <c r="C15" i="29" s="1"/>
  <c r="C28" i="29" s="1"/>
  <c r="B11" i="29"/>
  <c r="B14" i="29" s="1"/>
  <c r="B15" i="29" s="1"/>
  <c r="B28" i="29" s="1"/>
  <c r="E28" i="29" s="1"/>
  <c r="B18" i="43"/>
  <c r="B21" i="43" s="1"/>
  <c r="B11" i="43"/>
  <c r="B14" i="43" s="1"/>
  <c r="B15" i="43" s="1"/>
  <c r="B28" i="43" s="1"/>
  <c r="B12" i="31"/>
  <c r="B15" i="31" s="1"/>
  <c r="B11" i="28"/>
  <c r="B14" i="28" s="1"/>
  <c r="B15" i="28" s="1"/>
  <c r="B28" i="28" s="1"/>
  <c r="B18" i="28"/>
  <c r="B11" i="27"/>
  <c r="B14" i="27" s="1"/>
  <c r="B15" i="27" s="1"/>
  <c r="B11" i="42"/>
  <c r="B14" i="42" s="1"/>
  <c r="B15" i="42" s="1"/>
  <c r="B14" i="26"/>
  <c r="B15" i="26" s="1"/>
  <c r="B45" i="26"/>
  <c r="B46" i="26" s="1"/>
  <c r="B47" i="26" s="1"/>
  <c r="B48" i="26" s="1"/>
  <c r="B17" i="25"/>
  <c r="B18" i="25" s="1"/>
  <c r="B31" i="25" s="1"/>
  <c r="B11" i="49"/>
  <c r="B15" i="49" s="1"/>
  <c r="B16" i="49" s="1"/>
  <c r="B29" i="49" s="1"/>
  <c r="B11" i="50"/>
  <c r="B15" i="50" s="1"/>
  <c r="B16" i="50" s="1"/>
  <c r="B29" i="50" s="1"/>
  <c r="B15" i="2"/>
  <c r="B16" i="2" s="1"/>
  <c r="B29" i="2" s="1"/>
  <c r="B11" i="4"/>
  <c r="B15" i="4" s="1"/>
  <c r="B16" i="4" s="1"/>
  <c r="B29" i="4" s="1"/>
  <c r="B20" i="4"/>
  <c r="B22" i="4" s="1"/>
  <c r="C9" i="1"/>
  <c r="C8" i="1"/>
  <c r="B23" i="34" s="1"/>
  <c r="B24" i="34" s="1"/>
  <c r="G12" i="1"/>
  <c r="B11" i="23" s="1"/>
  <c r="B18" i="23" s="1"/>
  <c r="G16" i="1"/>
  <c r="G34" i="1"/>
  <c r="B11" i="39" s="1"/>
  <c r="B18" i="39" s="1"/>
  <c r="B19" i="39" s="1"/>
  <c r="B32" i="39" s="1"/>
  <c r="G35" i="1"/>
  <c r="B17" i="40" s="1"/>
  <c r="B16" i="44"/>
  <c r="B23" i="44" s="1"/>
  <c r="B15" i="39"/>
  <c r="B22" i="39"/>
  <c r="B25" i="39" s="1"/>
  <c r="B16" i="40"/>
  <c r="C16" i="58"/>
  <c r="C17" i="58" s="1"/>
  <c r="C31" i="58" s="1"/>
  <c r="B21" i="28"/>
  <c r="B52" i="58"/>
  <c r="E32" i="58" s="1"/>
  <c r="B33" i="39"/>
  <c r="B25" i="27" l="1"/>
  <c r="B29" i="23"/>
  <c r="B25" i="37"/>
  <c r="B26" i="37" s="1"/>
  <c r="B30" i="37" s="1"/>
  <c r="B23" i="45"/>
  <c r="B24" i="45" s="1"/>
  <c r="B28" i="45" s="1"/>
  <c r="B33" i="36"/>
  <c r="B34" i="36" s="1"/>
  <c r="B35" i="36" s="1"/>
  <c r="B31" i="32"/>
  <c r="B32" i="32" s="1"/>
  <c r="B29" i="29"/>
  <c r="E29" i="29" s="1"/>
  <c r="D32" i="58"/>
  <c r="D33" i="58" s="1"/>
  <c r="D34" i="58" s="1"/>
  <c r="B32" i="25"/>
  <c r="B19" i="23"/>
  <c r="B32" i="23" s="1"/>
  <c r="B25" i="28"/>
  <c r="B28" i="42"/>
  <c r="B29" i="33"/>
  <c r="B30" i="33" s="1"/>
  <c r="B31" i="33" s="1"/>
  <c r="B32" i="45"/>
  <c r="B33" i="45" s="1"/>
  <c r="B34" i="45" s="1"/>
  <c r="B23" i="52"/>
  <c r="B24" i="52" s="1"/>
  <c r="B49" i="26"/>
  <c r="B29" i="26" s="1"/>
  <c r="B29" i="43"/>
  <c r="B30" i="43" s="1"/>
  <c r="B31" i="43" s="1"/>
  <c r="B30" i="50"/>
  <c r="B31" i="50" s="1"/>
  <c r="B32" i="50" s="1"/>
  <c r="B30" i="49"/>
  <c r="B23" i="40"/>
  <c r="B27" i="40" s="1"/>
  <c r="B25" i="40"/>
  <c r="B26" i="40" s="1"/>
  <c r="B30" i="40" s="1"/>
  <c r="C29" i="29"/>
  <c r="C30" i="29" s="1"/>
  <c r="C31" i="29" s="1"/>
  <c r="B34" i="44"/>
  <c r="B23" i="51"/>
  <c r="B24" i="51" s="1"/>
  <c r="B29" i="28"/>
  <c r="B30" i="28" s="1"/>
  <c r="B31" i="28" s="1"/>
  <c r="F32" i="58"/>
  <c r="F33" i="58" s="1"/>
  <c r="F34" i="58" s="1"/>
  <c r="D29" i="29"/>
  <c r="D30" i="29" s="1"/>
  <c r="D31" i="29" s="1"/>
  <c r="B29" i="30"/>
  <c r="B30" i="30" s="1"/>
  <c r="B31" i="30" s="1"/>
  <c r="B33" i="23"/>
  <c r="B30" i="4"/>
  <c r="B31" i="4" s="1"/>
  <c r="B32" i="58"/>
  <c r="G32" i="58" s="1"/>
  <c r="B49" i="27"/>
  <c r="B29" i="27" s="1"/>
  <c r="B29" i="57"/>
  <c r="B30" i="57" s="1"/>
  <c r="B31" i="57" s="1"/>
  <c r="B49" i="42"/>
  <c r="C32" i="58"/>
  <c r="C33" i="58" s="1"/>
  <c r="C34" i="58" s="1"/>
  <c r="B29" i="35"/>
  <c r="B30" i="35" s="1"/>
  <c r="B31" i="35" s="1"/>
  <c r="B34" i="37"/>
  <c r="B35" i="37" s="1"/>
  <c r="B36" i="37" s="1"/>
  <c r="B30" i="2"/>
  <c r="B31" i="2" s="1"/>
  <c r="B32" i="2" s="1"/>
  <c r="B34" i="40"/>
  <c r="B35" i="40" s="1"/>
  <c r="B36" i="40" s="1"/>
  <c r="B50" i="26"/>
  <c r="B51" i="26" s="1"/>
  <c r="B34" i="39"/>
  <c r="B35" i="39" s="1"/>
  <c r="B33" i="25"/>
  <c r="B34" i="25" s="1"/>
  <c r="B27" i="58"/>
  <c r="B26" i="4"/>
  <c r="B20" i="51"/>
  <c r="B19" i="44"/>
  <c r="B20" i="44" s="1"/>
  <c r="B33" i="44" s="1"/>
  <c r="B31" i="49"/>
  <c r="B32" i="49" s="1"/>
  <c r="B25" i="30"/>
  <c r="B25" i="33"/>
  <c r="B34" i="38"/>
  <c r="B35" i="38" s="1"/>
  <c r="B36" i="38" s="1"/>
  <c r="B30" i="38"/>
  <c r="B23" i="28"/>
  <c r="B26" i="58"/>
  <c r="B22" i="27"/>
  <c r="B29" i="38"/>
  <c r="B25" i="4"/>
  <c r="B23" i="29"/>
  <c r="B26" i="32"/>
  <c r="B24" i="49"/>
  <c r="B18" i="34"/>
  <c r="B28" i="40"/>
  <c r="B27" i="39"/>
  <c r="B26" i="36"/>
  <c r="B25" i="42"/>
  <c r="B24" i="26"/>
  <c r="B22" i="57"/>
  <c r="B17" i="34"/>
  <c r="B28" i="44"/>
  <c r="B27" i="44"/>
  <c r="B27" i="37"/>
  <c r="B24" i="27"/>
  <c r="B28" i="23"/>
  <c r="B22" i="33"/>
  <c r="B24" i="33"/>
  <c r="B22" i="35"/>
  <c r="B23" i="42"/>
  <c r="B19" i="51"/>
  <c r="B27" i="38"/>
  <c r="B19" i="34"/>
  <c r="B24" i="2"/>
  <c r="B22" i="26"/>
  <c r="B23" i="4"/>
  <c r="B17" i="31"/>
  <c r="B24" i="30"/>
  <c r="B24" i="43"/>
  <c r="B23" i="33"/>
  <c r="B27" i="36"/>
  <c r="B22" i="43"/>
  <c r="B29" i="39"/>
  <c r="B38" i="39" s="1"/>
  <c r="B40" i="39" s="1"/>
  <c r="B22" i="28"/>
  <c r="B24" i="58"/>
  <c r="B26" i="23"/>
  <c r="B25" i="45"/>
  <c r="B20" i="34"/>
  <c r="B27" i="34" s="1"/>
  <c r="B29" i="34" s="1"/>
  <c r="B26" i="49"/>
  <c r="B20" i="52"/>
  <c r="B25" i="35"/>
  <c r="B26" i="2"/>
  <c r="B25" i="26"/>
  <c r="B25" i="57"/>
  <c r="B29" i="40"/>
  <c r="B23" i="27"/>
  <c r="B28" i="25"/>
  <c r="B23" i="26"/>
  <c r="B24" i="35"/>
  <c r="B28" i="39"/>
  <c r="B23" i="49"/>
  <c r="B18" i="31"/>
  <c r="B28" i="36"/>
  <c r="B19" i="52"/>
  <c r="B25" i="2"/>
  <c r="B25" i="50"/>
  <c r="B18" i="52"/>
  <c r="B24" i="50"/>
  <c r="B26" i="25"/>
  <c r="B18" i="51"/>
  <c r="B24" i="29"/>
  <c r="B23" i="57"/>
  <c r="B26" i="39"/>
  <c r="B28" i="38"/>
  <c r="B29" i="44"/>
  <c r="B29" i="37"/>
  <c r="B24" i="28"/>
  <c r="B25" i="58"/>
  <c r="B28" i="37"/>
  <c r="B24" i="57"/>
  <c r="B25" i="49"/>
  <c r="B23" i="50"/>
  <c r="B23" i="30"/>
  <c r="B27" i="25"/>
  <c r="B23" i="2"/>
  <c r="B24" i="42"/>
  <c r="B24" i="4"/>
  <c r="B22" i="42"/>
  <c r="B25" i="32"/>
  <c r="B22" i="29"/>
  <c r="B23" i="35"/>
  <c r="B22" i="30"/>
  <c r="B23" i="43"/>
  <c r="B17" i="51"/>
  <c r="B16" i="31"/>
  <c r="B30" i="44"/>
  <c r="B24" i="32"/>
  <c r="B27" i="23"/>
  <c r="B25" i="25"/>
  <c r="B17" i="52"/>
  <c r="B27" i="32"/>
  <c r="B29" i="36"/>
  <c r="B26" i="50"/>
  <c r="B26" i="45"/>
  <c r="E31" i="58"/>
  <c r="E33" i="58" s="1"/>
  <c r="B53" i="58"/>
  <c r="B54" i="58" s="1"/>
  <c r="G31" i="58"/>
  <c r="B28" i="26"/>
  <c r="B28" i="27"/>
  <c r="B19" i="31"/>
  <c r="B23" i="31" s="1"/>
  <c r="B25" i="43"/>
  <c r="B25" i="29"/>
  <c r="B27" i="45" l="1"/>
  <c r="B30" i="29"/>
  <c r="B30" i="26"/>
  <c r="B31" i="26" s="1"/>
  <c r="B50" i="27"/>
  <c r="B51" i="27" s="1"/>
  <c r="B34" i="28"/>
  <c r="B36" i="28" s="1"/>
  <c r="B35" i="32"/>
  <c r="B37" i="32" s="1"/>
  <c r="B27" i="52"/>
  <c r="B29" i="52" s="1"/>
  <c r="B34" i="23"/>
  <c r="B35" i="23" s="1"/>
  <c r="B38" i="23" s="1"/>
  <c r="B40" i="23" s="1"/>
  <c r="B37" i="25"/>
  <c r="B39" i="25" s="1"/>
  <c r="B34" i="33"/>
  <c r="B36" i="33" s="1"/>
  <c r="B35" i="44"/>
  <c r="B36" i="44" s="1"/>
  <c r="B32" i="4"/>
  <c r="B35" i="4" s="1"/>
  <c r="B37" i="4" s="1"/>
  <c r="B35" i="50"/>
  <c r="B37" i="50" s="1"/>
  <c r="B34" i="43"/>
  <c r="B36" i="43" s="1"/>
  <c r="B30" i="27"/>
  <c r="B37" i="45"/>
  <c r="B39" i="45" s="1"/>
  <c r="B27" i="51"/>
  <c r="B29" i="51" s="1"/>
  <c r="B39" i="37"/>
  <c r="B41" i="37" s="1"/>
  <c r="B33" i="58"/>
  <c r="B29" i="42"/>
  <c r="B30" i="42" s="1"/>
  <c r="B50" i="42"/>
  <c r="B51" i="42" s="1"/>
  <c r="B34" i="57"/>
  <c r="B36" i="57" s="1"/>
  <c r="B34" i="35"/>
  <c r="B36" i="35" s="1"/>
  <c r="B35" i="49"/>
  <c r="B37" i="49" s="1"/>
  <c r="B38" i="36"/>
  <c r="B40" i="36" s="1"/>
  <c r="B39" i="38"/>
  <c r="B41" i="38" s="1"/>
  <c r="B34" i="30"/>
  <c r="B36" i="30" s="1"/>
  <c r="B39" i="40"/>
  <c r="B41" i="40" s="1"/>
  <c r="B35" i="2"/>
  <c r="B37" i="2" s="1"/>
  <c r="B31" i="29"/>
  <c r="E31" i="29" s="1"/>
  <c r="E30" i="29"/>
  <c r="E34" i="58"/>
  <c r="B34" i="26" l="1"/>
  <c r="B36" i="26" s="1"/>
  <c r="B31" i="27"/>
  <c r="B34" i="27" s="1"/>
  <c r="B36" i="27" s="1"/>
  <c r="B39" i="44"/>
  <c r="B41" i="44" s="1"/>
  <c r="B34" i="58"/>
  <c r="G34" i="58" s="1"/>
  <c r="G33" i="58"/>
  <c r="B31" i="42"/>
  <c r="B34" i="42" s="1"/>
  <c r="B36" i="42" s="1"/>
  <c r="B34" i="29"/>
  <c r="B36" i="29" s="1"/>
  <c r="B37" i="58" l="1"/>
  <c r="B39" i="58" s="1"/>
</calcChain>
</file>

<file path=xl/sharedStrings.xml><?xml version="1.0" encoding="utf-8"?>
<sst xmlns="http://schemas.openxmlformats.org/spreadsheetml/2006/main" count="1398" uniqueCount="308">
  <si>
    <t>Reisetid kollektivtransport</t>
  </si>
  <si>
    <t>Reisetid bil</t>
  </si>
  <si>
    <t>Måleenhet</t>
  </si>
  <si>
    <t>kr pr minutt</t>
  </si>
  <si>
    <t>Låsbart sykkelhus</t>
  </si>
  <si>
    <t>Opprop av neste holdeplass om bord</t>
  </si>
  <si>
    <t>Antall passasjerer pr år</t>
  </si>
  <si>
    <t>Nettonåverdiberegning</t>
  </si>
  <si>
    <t>NNV =</t>
  </si>
  <si>
    <t>(Må være &gt;0 for lønnsomhet)</t>
  </si>
  <si>
    <t>Årlig passasjernytte</t>
  </si>
  <si>
    <t>Antall biler som forsinkes pr avgang</t>
  </si>
  <si>
    <t>Operatørkostnad</t>
  </si>
  <si>
    <t>Forutsetninger</t>
  </si>
  <si>
    <t>Årlig operatørnytte</t>
  </si>
  <si>
    <t>OPPHØYET HOLDEPLASS</t>
  </si>
  <si>
    <t>RUTETABELL PÅ HOLDEPLASS</t>
  </si>
  <si>
    <t>Levetid på installasjoner</t>
  </si>
  <si>
    <t>År</t>
  </si>
  <si>
    <t>Sykkelparkering ved holdeplasser</t>
  </si>
  <si>
    <t>Leskur på holdeplassen</t>
  </si>
  <si>
    <t>Opphøyet holdeplass for enklere av-/påstigning</t>
  </si>
  <si>
    <t>Rutekart på holdeplasser</t>
  </si>
  <si>
    <t>Rutetabell på holdeplasser</t>
  </si>
  <si>
    <t>Informasjon over høytaler på holdeplassen om avvik</t>
  </si>
  <si>
    <t>Annonsering av neste holdeplass om bord</t>
  </si>
  <si>
    <t>Ekstra renhold av busser</t>
  </si>
  <si>
    <t>Belysning på holdeplass</t>
  </si>
  <si>
    <t>Vektere</t>
  </si>
  <si>
    <t>Alarmsystemer på holdeplass</t>
  </si>
  <si>
    <t>Lavgulv- og laventrebusser</t>
  </si>
  <si>
    <t>Kollektivprioritering i lyskryss</t>
  </si>
  <si>
    <t>Kollektivprioritering ved skilting i kryss</t>
  </si>
  <si>
    <t>Flytte holdeplass</t>
  </si>
  <si>
    <t>Nedlegge holdeplass</t>
  </si>
  <si>
    <t>Kommentar</t>
  </si>
  <si>
    <t>Kostnad ved å installere tiltaket en gang</t>
  </si>
  <si>
    <t>Tiltakets levetid, år</t>
  </si>
  <si>
    <t>Ant.invest. over 25 år, inkl. år 0-investering</t>
  </si>
  <si>
    <t>Tidsgevinst pr bussavgang, sekunder</t>
  </si>
  <si>
    <t>Fyll inn</t>
  </si>
  <si>
    <t>INFORMASJON OVER HØYTTALER PÅ HOLDEPLASS OM AVVIK</t>
  </si>
  <si>
    <t>BELYSNING PÅ HOLDEPLASS</t>
  </si>
  <si>
    <t>VEKTERE PÅ HOLDEPLASS</t>
  </si>
  <si>
    <t>KOLLEKTIVPRIORITERING I LYSKRYSS</t>
  </si>
  <si>
    <t>Sekunder forsinkelse pr bil</t>
  </si>
  <si>
    <t>KOLLEKTIVPRIORITERING VED SKILTING</t>
  </si>
  <si>
    <t>Sum årlig nytte</t>
  </si>
  <si>
    <t>FLYTTE HOLDEPLASS</t>
  </si>
  <si>
    <r>
      <t xml:space="preserve">Andel passasjerer som får </t>
    </r>
    <r>
      <rPr>
        <b/>
        <sz val="10"/>
        <rFont val="Arial"/>
        <family val="2"/>
      </rPr>
      <t>kortere gangvei</t>
    </r>
  </si>
  <si>
    <t>Ganghastighet, meter pr sekund</t>
  </si>
  <si>
    <t>prosent</t>
  </si>
  <si>
    <t>Nytte for dem som har fått kortere gangvei - ulempe for dem som har fått lengre gangvei</t>
  </si>
  <si>
    <t>Bussens tidsbesparelse, sekunder pr avgang</t>
  </si>
  <si>
    <t>Antall bussavganger pr år som ikke lenger stopper</t>
  </si>
  <si>
    <t>NEDLEGGE HOLDEPLASS</t>
  </si>
  <si>
    <t>Tidsbesparelse pr avgang, sekunder</t>
  </si>
  <si>
    <t>Anbefalt verdi fra SL</t>
  </si>
  <si>
    <t>Anbefalt verdi fra VD</t>
  </si>
  <si>
    <t>Anbefalt verdi fra Adshel og JCDecaux</t>
  </si>
  <si>
    <t>Anbefalt verdi fra T-bane. Gjelder utskifting av kart, ikke stolpen den er montert til.</t>
  </si>
  <si>
    <t>Anbefalt verdi fra SL. Gjelder utskifting av tabell, ikke stolpen den er montert til.</t>
  </si>
  <si>
    <t xml:space="preserve">Anbefalt verdi fra T-bane. </t>
  </si>
  <si>
    <t>Bruker samme levetid som ved "skilting"</t>
  </si>
  <si>
    <t xml:space="preserve">  -Sentralutstyr</t>
  </si>
  <si>
    <t>Sanntidsinformasjon:</t>
  </si>
  <si>
    <t>Anbefalt verdi fra Trafikanten 10-15 år</t>
  </si>
  <si>
    <t>Anbefalt verdi fra Trafikanten 5-10 år</t>
  </si>
  <si>
    <t>-</t>
  </si>
  <si>
    <t>Hentet fra Samstad, Killi og Hagmann (2005)</t>
  </si>
  <si>
    <t>Settes lik 1 slik at vi får en årlig kostnad.</t>
  </si>
  <si>
    <t>Sentralutstyr</t>
  </si>
  <si>
    <t>LOKALKART PÅ HOLDEPLASS</t>
  </si>
  <si>
    <t>RUTEKART PÅ HOLDEPLASS</t>
  </si>
  <si>
    <t>Lokale kart på holdeplasser</t>
  </si>
  <si>
    <t>Antall passasjerer som bruker holdeplassen pr år</t>
  </si>
  <si>
    <t>Anbefalte verdsettinger</t>
  </si>
  <si>
    <t>Årlige drifts- og vedlikeholdskostnader</t>
  </si>
  <si>
    <t>Kun nytteberegning. Antar ingen kostnad</t>
  </si>
  <si>
    <t>Skilting foran og på siden av buss</t>
  </si>
  <si>
    <t>Settes like lang som buss</t>
  </si>
  <si>
    <t>Skilting i buss</t>
  </si>
  <si>
    <t>Settes lik SIS i buss.</t>
  </si>
  <si>
    <t>Antar ingen kostnad og heller ingen levetid</t>
  </si>
  <si>
    <t>OPPROP AV NESTE HOLDEPLASS OM BORD</t>
  </si>
  <si>
    <t>SANNTIDSINFORMASJON PÅ HOLDEPLASS</t>
  </si>
  <si>
    <t>Utstyr i kjøretøyet</t>
  </si>
  <si>
    <t>Info.tavle på holdeplass</t>
  </si>
  <si>
    <t xml:space="preserve">  -Info.tavle på holdeplass</t>
  </si>
  <si>
    <t xml:space="preserve">  -Følere i kjøretøyet</t>
  </si>
  <si>
    <t>Renhold på holdeplass</t>
  </si>
  <si>
    <t>EKSTRA RENHOLD OM BORD PÅ BUSSENE</t>
  </si>
  <si>
    <t>Antall biler som forsinkes pr avgang (ÅDT/4320)</t>
  </si>
  <si>
    <t>Bilenes gjennomsnittlige forsinkelse, sekunder</t>
  </si>
  <si>
    <r>
      <t xml:space="preserve">Antall </t>
    </r>
    <r>
      <rPr>
        <b/>
        <sz val="10"/>
        <rFont val="Arial"/>
        <family val="2"/>
      </rPr>
      <t>sykkelreiser</t>
    </r>
    <r>
      <rPr>
        <sz val="10"/>
        <rFont val="Arial"/>
        <family val="2"/>
      </rPr>
      <t xml:space="preserve"> til holdeplassen pr år</t>
    </r>
  </si>
  <si>
    <t>Årlig kostnad</t>
  </si>
  <si>
    <t>Andel av kostnadene som finansieres med bompenger</t>
  </si>
  <si>
    <t>Antall bussavganger pr år</t>
  </si>
  <si>
    <t>Sum</t>
  </si>
  <si>
    <t>Fyll inn eller tøm cellen</t>
  </si>
  <si>
    <t>kroner</t>
  </si>
  <si>
    <t>OPPRETTE HOLDEPLASS</t>
  </si>
  <si>
    <t>Antall bussavganger pr år på den nye holdeplassen</t>
  </si>
  <si>
    <t>sekunder</t>
  </si>
  <si>
    <t>år</t>
  </si>
  <si>
    <t>Antall passasjerer om bord på bussene forbi holdeplassen pr år</t>
  </si>
  <si>
    <t>OMGJØRE VANLIG HOLDEPLASS TIL ANROPSTYRT HOLDEPLASS</t>
  </si>
  <si>
    <t>Omgjøring av busslomme til kantsteinstopp</t>
  </si>
  <si>
    <t>OMGJØRE BUSSLOMME TIL KANTSTEINSTOPP</t>
  </si>
  <si>
    <t>(Dette tallet hentes opp i beregningene over.)</t>
  </si>
  <si>
    <t>Informasjonsbærer</t>
  </si>
  <si>
    <t>Beregningsteknisk mellomregning</t>
  </si>
  <si>
    <t>Årlig øvrig trafikantnytte</t>
  </si>
  <si>
    <t>Andelen avganger som kan kjøre forbi holdeplassen</t>
  </si>
  <si>
    <t>ELEKTRONISK SKILTING I BUSSEN AV NESTE HOLDEPLASS</t>
  </si>
  <si>
    <t>DESTINASJONSSKILT BAK OG PÅ SIDEN AV BUSSEN</t>
  </si>
  <si>
    <t>ALARMSYSTEM / NØDTELEFON PÅ HOLDEPLASS</t>
  </si>
  <si>
    <t>Rapporten beskriver forutsetninger og beregningsmetoder som er brukt her.</t>
  </si>
  <si>
    <t>Rapporten definerer også de dataene som skal legges inn i beregningene.</t>
  </si>
  <si>
    <t>Det er derfor helt nødvendig å konsultere rapporten før du begynner å regne på tiltak i dette regnearket.</t>
  </si>
  <si>
    <t>Innledning</t>
  </si>
  <si>
    <t>Lyseblå</t>
  </si>
  <si>
    <t>er tiltak på holdeplasser</t>
  </si>
  <si>
    <t>Lysegul</t>
  </si>
  <si>
    <t>er tiltak knyttet til informasjon</t>
  </si>
  <si>
    <t>Lys orange</t>
  </si>
  <si>
    <t>er tiltak knyttet til trygghet</t>
  </si>
  <si>
    <t>Rosa</t>
  </si>
  <si>
    <t>er tiltak knyttet til kjøremateriell</t>
  </si>
  <si>
    <t>Grønn</t>
  </si>
  <si>
    <t>er tiltak på strekning og fremkommelighetstiltak</t>
  </si>
  <si>
    <t>Regnearket skal da generere nyttekostnadsberegningene.</t>
  </si>
  <si>
    <t>Eventuelle spørsmål, feilrettinger og kommentarer mottas med takk. Skriv til Nils Fearnley, naf@toi.no</t>
  </si>
  <si>
    <t>Arkfanene (navnene på nederst på hvert regneark) er fargesortert etter type tiltak:</t>
  </si>
  <si>
    <t>årlig antall avstigende passasjerer på holdeplassen(e)</t>
  </si>
  <si>
    <t>avganger som passerer krysset med prioritering</t>
  </si>
  <si>
    <t>alle som er om bord, men som ikke selv går av eller på ved holdeplassen</t>
  </si>
  <si>
    <t>Diskonteringsrente</t>
  </si>
  <si>
    <t>Skyggepris offentlige midler</t>
  </si>
  <si>
    <t>Annuitetsfaktor</t>
  </si>
  <si>
    <t>Investeringsfaktor</t>
  </si>
  <si>
    <t>Nåverdi av årlige drift/vedlh kostnader</t>
  </si>
  <si>
    <t>Nåverdi av investeringskostnader inkl restverdi</t>
  </si>
  <si>
    <t>Nytteberegninger</t>
  </si>
  <si>
    <t>Kostnadberegning</t>
  </si>
  <si>
    <t>Gangtid kollektivpassasjerer</t>
  </si>
  <si>
    <t>Sitteplass på holdeplassen</t>
  </si>
  <si>
    <t>Rutetabell på holdeplass</t>
  </si>
  <si>
    <t>Elektronisk skilting ombord i buss om neste holdeplass</t>
  </si>
  <si>
    <t>Destinasjonsskilt foran, på siden og bak bussen</t>
  </si>
  <si>
    <t>Sanntidsinformasjon på holdeplasser</t>
  </si>
  <si>
    <t>Informasjon over høyttaler på holdeplassen om avvik</t>
  </si>
  <si>
    <t>Nødtelefon/Alarmsystemer på holdeplass</t>
  </si>
  <si>
    <t>kr pr. min pr. pass</t>
  </si>
  <si>
    <t>kr pr. sykkelreise</t>
  </si>
  <si>
    <t>kr pr. kollektivreise</t>
  </si>
  <si>
    <t xml:space="preserve">Forutsetninger som ligger til grunn for analysen: </t>
  </si>
  <si>
    <t>Vekstrate: Årlig vekst i trafikantnytte utover generell prisstigning</t>
  </si>
  <si>
    <t>Diskonteringrente justert for vekstrate</t>
  </si>
  <si>
    <t>Annuitetsfaktor justert for vekstrate</t>
  </si>
  <si>
    <t>LESKUR UTEN SITTEPLASS</t>
  </si>
  <si>
    <t>??</t>
  </si>
  <si>
    <t>SITTEPLASS PÅ HOLDEPLASS</t>
  </si>
  <si>
    <t>Fjerning av is og snø på holdeplass</t>
  </si>
  <si>
    <t>Investeringsfaktor for informasjonstavle/stolpe/bærer</t>
  </si>
  <si>
    <t>Reservematriellets levetid, år</t>
  </si>
  <si>
    <t>Kostnad pr buss pr dag</t>
  </si>
  <si>
    <t>Antall busser (busspark) som tiltaket gjelder</t>
  </si>
  <si>
    <t>Antall passasjerer pr år på busser som omfattes av tiltaket</t>
  </si>
  <si>
    <t>Andel som finansieres med bompenger</t>
  </si>
  <si>
    <t>Sum nåverdi kostnader over analyseperioden</t>
  </si>
  <si>
    <t>Nåverdi av passasjernytte over analyseperioden</t>
  </si>
  <si>
    <t>Nåverdi av trafikantnytte over analyseperioden</t>
  </si>
  <si>
    <t>Nåverdi av operatørnytte over analyseperioden</t>
  </si>
  <si>
    <t>Skyggepris på offentlige midler over analyseperioden</t>
  </si>
  <si>
    <t>Nettonytte over analyseperioden - (nåverdi av kostnad * skyggepris)</t>
  </si>
  <si>
    <t>Forutsetninger informasjonstavle/-stolpe/-bærer</t>
  </si>
  <si>
    <t>Kostnad ved å installere tiltaket én gang</t>
  </si>
  <si>
    <t>Nettonytte pr budsjettkrone over analyseperioden</t>
  </si>
  <si>
    <t>Antall på- og avstigende passasjerer på holdeplassen pr år</t>
  </si>
  <si>
    <t>Gjennomsnittsbelegg forbi holdeplassen, passasjerer pr buss</t>
  </si>
  <si>
    <t>Gjennomsnittsbelegg på bussene, passasjerer pr buss</t>
  </si>
  <si>
    <t>Årlig tidsbesparelse, min</t>
  </si>
  <si>
    <t>Antall passasjerer om bord og på holdeplass pr år</t>
  </si>
  <si>
    <t>Antall avganger pr år som passerer krysset</t>
  </si>
  <si>
    <t>Antall passasjerer pr år om bord gjennom krysset</t>
  </si>
  <si>
    <t>Hvor langt flyttes holdeplassen i meter?</t>
  </si>
  <si>
    <t>Tidsgevinst ved å ikke kjøre innom holdeplassen, sek</t>
  </si>
  <si>
    <t xml:space="preserve">Du har valgt en analyseperiode på </t>
  </si>
  <si>
    <t xml:space="preserve">Dersom du har god grunn til å bruke en annen analyseperiode enn standard,  gjør </t>
  </si>
  <si>
    <t>Settes lik analyseperioden</t>
  </si>
  <si>
    <t>Antall passasjerer på hele ruta pr år</t>
  </si>
  <si>
    <t>Andel passasjerer som benytter høye holdeplasser</t>
  </si>
  <si>
    <t xml:space="preserve">LAVGULV-/LAVENTREBUSSER </t>
  </si>
  <si>
    <t>Lokalkart</t>
  </si>
  <si>
    <t>Opprette holdeplass</t>
  </si>
  <si>
    <t>Omgjøring til anropstyrt holdeplass</t>
  </si>
  <si>
    <t>Antall påstigende passasjerer pr år</t>
  </si>
  <si>
    <t>Låsbar sykkelparkering under tak ved holdeplass</t>
  </si>
  <si>
    <t>Sitteplass på holdeplass</t>
  </si>
  <si>
    <t>Leskur uten sitteplass på holdeplass</t>
  </si>
  <si>
    <t>Økt renhold på holdeplass</t>
  </si>
  <si>
    <t>Økt fjerning av is og snø på holdeplass</t>
  </si>
  <si>
    <t>Opphøyet holdeplass for enklere av/-påstigning</t>
  </si>
  <si>
    <t>Lokalt kart på holdeplass</t>
  </si>
  <si>
    <t>Rutekart på holdeplass</t>
  </si>
  <si>
    <t>Elektronisk skilting om bord om neste holdeplass</t>
  </si>
  <si>
    <t>Destinasjonsskilt bak og på siden av bussen</t>
  </si>
  <si>
    <t>Sanntidsinformasjon på holdeplassen</t>
  </si>
  <si>
    <t>Informasjon over høyttaler på holdeplass om avvik</t>
  </si>
  <si>
    <t>Ekstra renhold på kjøretøy</t>
  </si>
  <si>
    <t>Lavgulvbuss</t>
  </si>
  <si>
    <t>Omgjøring av busslomme til kantsteinstopp ved fortau</t>
  </si>
  <si>
    <t xml:space="preserve">Klikk på arkfanen for det tiltaket du skal effektberegne, og legg inn de data som etterspørres. </t>
  </si>
  <si>
    <t>Nåverdi av totale kostnader, inkl restverdi</t>
  </si>
  <si>
    <r>
      <t>endringer i fanen  "Forutsetninger".</t>
    </r>
    <r>
      <rPr>
        <i/>
        <sz val="10"/>
        <rFont val="Arial"/>
        <family val="2"/>
      </rPr>
      <t xml:space="preserve"> NB; Les kap 2.7 i veilederen før du gjør endringer!</t>
    </r>
  </si>
  <si>
    <t>Kostnad ved å installere tiltaket en gang, kroner</t>
  </si>
  <si>
    <t>Årlige drifts- og vedlikeholdskostnader, kroner</t>
  </si>
  <si>
    <t>Leskur på bussholdeplassen uten sitteplass</t>
  </si>
  <si>
    <t>Leskur på bussholdeplassen med sitteplass</t>
  </si>
  <si>
    <t>Tilfredstillende renhold på holdeplassen</t>
  </si>
  <si>
    <t>Tilfredstillende fjerning av snø og is på holdeplassen</t>
  </si>
  <si>
    <t>Rutekart</t>
  </si>
  <si>
    <t>Lokalt kart</t>
  </si>
  <si>
    <t>Lavgulv uten tilpasset holdeplass</t>
  </si>
  <si>
    <t>Lavgulv med tilpasset holdeplass</t>
  </si>
  <si>
    <t>Årlige kostnad, kroner</t>
  </si>
  <si>
    <t>Antall passasjerer pr år på holdeplasser m SIS</t>
  </si>
  <si>
    <t>Andel av kostnadene som finansieres med bompenger, kroner</t>
  </si>
  <si>
    <t>Kostnad ved ett års drift, kroner</t>
  </si>
  <si>
    <t>Antall bussavganger som bruker holdeplassen pr år</t>
  </si>
  <si>
    <t>Antall avganger som passerer krysset med prioritering pr år</t>
  </si>
  <si>
    <t>→ Sekunder tidsgevinst pr kjøretøy, sekunder</t>
  </si>
  <si>
    <t>→ Sekunder forsinkelse pr kjøretøy. Sekunder</t>
  </si>
  <si>
    <r>
      <t xml:space="preserve">Antall biler som </t>
    </r>
    <r>
      <rPr>
        <b/>
        <sz val="10"/>
        <rFont val="Arial"/>
        <family val="2"/>
      </rPr>
      <t>forsinkes</t>
    </r>
    <r>
      <rPr>
        <sz val="10"/>
        <rFont val="Arial"/>
        <family val="2"/>
      </rPr>
      <t xml:space="preserve"> pr år (passerer krysset fra vei som får vikeplikt)</t>
    </r>
  </si>
  <si>
    <r>
      <t xml:space="preserve">Antall biler som får </t>
    </r>
    <r>
      <rPr>
        <b/>
        <sz val="10"/>
        <rFont val="Arial"/>
        <family val="2"/>
      </rPr>
      <t>forkjørsrett</t>
    </r>
    <r>
      <rPr>
        <sz val="10"/>
        <rFont val="Arial"/>
        <family val="2"/>
      </rPr>
      <t xml:space="preserve"> pr år (passerer krysset fra vei som får forkjørsrett)</t>
    </r>
  </si>
  <si>
    <t>Sparte årlige drifts- og vedlikeholdskostnader (negativ), kroner</t>
  </si>
  <si>
    <t>Antall passasjerer om bord på bussene pr år som får redusert reisetid pga nedlagt hpl</t>
  </si>
  <si>
    <t>Økt gangavstand for tidligere brukere av holdeplassen, meter</t>
  </si>
  <si>
    <t>Ekstra tid bussen bruker på å stoppe på ny holdeplass, sekunder</t>
  </si>
  <si>
    <t>Antall passasjerer som vil bruke den nye holdeplassen i stedenfor den eksisterende pr år</t>
  </si>
  <si>
    <t>Antall passasjerer på bussen forbi holdeplassen pr år (som får økt reisetid pga det nye stoppet)</t>
  </si>
  <si>
    <t>Redusert gangavstand for nye brukere av holdeplassen, meter</t>
  </si>
  <si>
    <t>Årlig tidsbesparelse, minutter (se tekst i rapport)</t>
  </si>
  <si>
    <t>kr pr. min pr. bil</t>
  </si>
  <si>
    <t>Årlig antall avganger</t>
  </si>
  <si>
    <t>(Inkluderer evt kostnader til informasjonsbærer)</t>
  </si>
  <si>
    <t xml:space="preserve">Kostnadberegning </t>
  </si>
  <si>
    <t>Trykk på lenkene under for å komme direkte til tiltakets fane:</t>
  </si>
  <si>
    <t>Pakke: Opprop om neste holdeplass og elektronisk skilting om bord</t>
  </si>
  <si>
    <t>Låsbar sykkelparkering ved holdeplass</t>
  </si>
  <si>
    <t>PAKKE: LESKUR OG SITTEPLASS PÅ HOLDEPLASS</t>
  </si>
  <si>
    <t>PAKKE: ELEKTRONISK SKILTING + OPPROP I BUSSEN AV NESTE HOLDEPLASS</t>
  </si>
  <si>
    <t>Pakke kjøretøy: skilting+opprop av nest holdeplass</t>
  </si>
  <si>
    <t>Sum nåverdi av nytte over analyseperioden</t>
  </si>
  <si>
    <t>PAKKE: LOKALKART, SANNTIDSINFORMASJON og HØYTTALERINFORMASJON PÅ HOLDEPLASS</t>
  </si>
  <si>
    <t>Høyttalerinformasjon</t>
  </si>
  <si>
    <t>Sanntidsinformasjon (SIS)</t>
  </si>
  <si>
    <t>* Kostnader til å sette opp informasjonstavle/-bærer må fylles inn i egen tabell under</t>
  </si>
  <si>
    <t>Pakke informasjon på holdeplass: kart, SIS, høyttaler</t>
  </si>
  <si>
    <t>Forutsetninger informasjonstavle/-stolpe/-bærer dersom det trengs for LOKALKART:</t>
  </si>
  <si>
    <t>Pakke: Lokalkart, høyttalerinformasjon og sanntidsinformasjon på holdeplass</t>
  </si>
  <si>
    <r>
      <rPr>
        <i/>
        <u/>
        <sz val="10"/>
        <color indexed="12"/>
        <rFont val="Arial"/>
        <family val="2"/>
      </rPr>
      <t xml:space="preserve">Pakke: </t>
    </r>
    <r>
      <rPr>
        <u/>
        <sz val="10"/>
        <color indexed="12"/>
        <rFont val="Arial"/>
        <family val="2"/>
      </rPr>
      <t>Leskur med sitteplass på holdeplass</t>
    </r>
  </si>
  <si>
    <t>Kollektivprioritering ved skilting</t>
  </si>
  <si>
    <t>Lokalkart*</t>
  </si>
  <si>
    <t>Nåverdi av totale kostnader</t>
  </si>
  <si>
    <t>Nåverdi av totale kostnader over analyseperioden</t>
  </si>
  <si>
    <t>Ev. investeringskostnad ved økt reservemateriellbehov, kr</t>
  </si>
  <si>
    <t>Antall på-/avstigende passasjerer i vintermånedene pr år</t>
  </si>
  <si>
    <t>Antall avstigende passasjerer pr år</t>
  </si>
  <si>
    <t>kroner. Kostnader til å sette opp informasjonstavle/-bærer må fylles inn i egen tabell under (linje 43)</t>
  </si>
  <si>
    <t>kroner. Kostnader til å sette opp informasjonstavle/-bærer må fylles inn i egen tabell under (linje 44)</t>
  </si>
  <si>
    <t>årlig antall påstigende passasjerer på holdeplassen(e)</t>
  </si>
  <si>
    <t>Kostnader til å sette opp informasjonstavle/-bærer må fylles inn i egen tabell under (linje 43)</t>
  </si>
  <si>
    <t>Kostnader til å sette opp informasjonstavle/-bærer må fylles inn i egen tabell under (linje 44)</t>
  </si>
  <si>
    <t>Årlig antall passasjerer om bord på bussene der opprop innføres</t>
  </si>
  <si>
    <t>Årlig antall passasjerer om bord på bussene som skal bli utstyrt med elektronisk annonsering</t>
  </si>
  <si>
    <t>Årlig antall passasjerer om bord på bussene tiltakene innføres</t>
  </si>
  <si>
    <t>Årlig antall passasjerer om bord på bussene som skal bli utstyrt med destinasjonsskilt</t>
  </si>
  <si>
    <t>Antall passasjerer på bussene pr år</t>
  </si>
  <si>
    <t>Årlig antall passasjerer som får nytte av tiltaket, altså antallet påstigende passasjerer ved holdeplassen(e) som skal få SIS</t>
  </si>
  <si>
    <t>Årlig antall passasjerer på holdeplassen(e) der det skal innføres informasjonssystem over høyttaler</t>
  </si>
  <si>
    <t>Antall påstigende passasjerer pr år på holdeplasser m pakke</t>
  </si>
  <si>
    <t>Antall på- og avstigende passasjerer pr år</t>
  </si>
  <si>
    <t>Årlig antall passasjerer som omfattes av tiltaket</t>
  </si>
  <si>
    <t>Årlig antall passasjerer som har glede av vekterordningen</t>
  </si>
  <si>
    <t>Antall på- og avstigende assasjerer pr år</t>
  </si>
  <si>
    <t>Årlig antall passasjerer om bord på bussene som skal få oppgradert renhold</t>
  </si>
  <si>
    <t>Se veiledning i rapporten</t>
  </si>
  <si>
    <t>Passasjerer som bruker holdeplassen + alle passasjerer om bord på bussrutene forbi holdeplassen</t>
  </si>
  <si>
    <t>Se veilederen for beskrivelse</t>
  </si>
  <si>
    <t>Årlig antall på- og avstigende passasjerer som benytter holdeplassen som skal flyttes</t>
  </si>
  <si>
    <t>Antall passasjerer som bruker holdeplassen hvert år, på- og avstigende</t>
  </si>
  <si>
    <t>Både på- og avstigende passasjerer teller med</t>
  </si>
  <si>
    <t>Jf. HB264</t>
  </si>
  <si>
    <t>Nils Fearnley, Karen Evelyn Hauge og Marit Killi 2010. Nyttekostnadsanalyse av enklere kollektivtransporttiltak. Revidert 2010. Excel-vedlegg til TØI-rapport 1121/2010</t>
  </si>
  <si>
    <t>Denne Excel-versjonen av NKA-verktøyet er oppdatert i 2015. Arbeidet bygger på Fearnley og Killi (2006), som ble oppdatert i Fearnley m fl (2010). I 2015-oppdateringen er følgende endret:</t>
  </si>
  <si>
    <t>- Alle verdier er justert til 2016-kr vha KPI</t>
  </si>
  <si>
    <t>- Analyseperioden er satt til 40 år</t>
  </si>
  <si>
    <t>- Virkningene er justert i tråd med forventet BNP-vekst på 1,3 % pr år</t>
  </si>
  <si>
    <t>Fearnley, Nils og Marit Killi (2006) Veileder: Virkningsberegning av enklere kollektivtransporttiltak. TØI-rapport 857/2006</t>
  </si>
  <si>
    <t>Kilder:</t>
  </si>
  <si>
    <t>Dette regnearket er først og fremst ment som et hjelpemiddel for å gjennomføre beregningene som er beskrevet i 2006-rapporten.</t>
  </si>
  <si>
    <t>Verdi 2016-kr</t>
  </si>
  <si>
    <t>- Diskonteringsrenten er satt til 4 prosent</t>
  </si>
  <si>
    <t>Fearnley, Nils og Harald Minken (2015). Dokumentasjon av 2015-oppdatering av NKA-verktøy for enklere kollektivtransporttiltak. Arbeidsdokument 50768</t>
  </si>
  <si>
    <t>Dette er dokumentert og nærmere forklart i Fearnley og Minken (2015)</t>
  </si>
  <si>
    <t>Analyseperiode (standard analyseperiode i NKA er 40 år)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</si>
</sst>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_(* #,##0.00_);_(* \(#,##0.00\);_(* &quot;-&quot;??_);_(@_)"/>
    <numFmt numFmtId="165" formatCode="0.0000000"/>
    <numFmt numFmtId="166" formatCode="0.000000"/>
    <numFmt numFmtId="167" formatCode="0.0000"/>
    <numFmt numFmtId="168" formatCode="#,##0.0"/>
    <numFmt numFmtId="169" formatCode="#,##0.000"/>
    <numFmt numFmtId="170" formatCode="#,##0.000000000"/>
    <numFmt numFmtId="171" formatCode="_(* #,##0_);_(* \(#,##0\);_(* &quot;-&quot;??_);_(@_)"/>
    <numFmt numFmtId="172" formatCode="#,##0_ ;\-#,##0\ "/>
    <numFmt numFmtId="173" formatCode="_ * #,##0_ ;_ * \-#,##0_ ;_ * &quot;-&quot;??_ ;_ @_ "/>
  </numFmts>
  <fonts count="2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color indexed="55"/>
      <name val="Arial"/>
      <family val="2"/>
    </font>
    <font>
      <sz val="10"/>
      <color indexed="10"/>
      <name val="Arial"/>
      <family val="2"/>
    </font>
    <font>
      <sz val="10"/>
      <color indexed="55"/>
      <name val="Arial"/>
      <family val="2"/>
    </font>
    <font>
      <i/>
      <sz val="10"/>
      <name val="Arial"/>
      <family val="2"/>
    </font>
    <font>
      <i/>
      <u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i/>
      <u/>
      <sz val="10"/>
      <color indexed="12"/>
      <name val="Arial"/>
      <family val="2"/>
    </font>
    <font>
      <sz val="9"/>
      <color theme="1"/>
      <name val="Arial"/>
      <family val="2"/>
    </font>
    <font>
      <sz val="10"/>
      <color theme="0" tint="-0.14999847407452621"/>
      <name val="Arial"/>
      <family val="2"/>
    </font>
    <font>
      <b/>
      <u/>
      <sz val="9"/>
      <color theme="1"/>
      <name val="Arial"/>
      <family val="2"/>
    </font>
    <font>
      <b/>
      <sz val="10"/>
      <color theme="0" tint="-0.14999847407452621"/>
      <name val="Arial"/>
      <family val="2"/>
    </font>
    <font>
      <sz val="10"/>
      <color rgb="FFFF0000"/>
      <name val="Arial"/>
      <family val="2"/>
    </font>
    <font>
      <sz val="10"/>
      <color theme="0" tint="-0.34998626667073579"/>
      <name val="Arial"/>
      <family val="2"/>
    </font>
    <font>
      <b/>
      <sz val="10"/>
      <color theme="0" tint="-0.34998626667073579"/>
      <name val="Arial"/>
      <family val="2"/>
    </font>
    <font>
      <sz val="10"/>
      <color theme="1" tint="0.34998626667073579"/>
      <name val="Arial"/>
      <family val="2"/>
    </font>
    <font>
      <b/>
      <sz val="10"/>
      <color theme="1" tint="0.34998626667073579"/>
      <name val="Arial"/>
      <family val="2"/>
    </font>
    <font>
      <sz val="9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98">
    <xf numFmtId="0" fontId="0" fillId="0" borderId="0" xfId="0"/>
    <xf numFmtId="0" fontId="0" fillId="2" borderId="0" xfId="0" applyFill="1" applyBorder="1"/>
    <xf numFmtId="0" fontId="3" fillId="2" borderId="0" xfId="0" applyFont="1" applyFill="1" applyBorder="1"/>
    <xf numFmtId="0" fontId="0" fillId="3" borderId="1" xfId="0" applyFill="1" applyBorder="1"/>
    <xf numFmtId="0" fontId="0" fillId="4" borderId="1" xfId="0" applyFill="1" applyBorder="1"/>
    <xf numFmtId="0" fontId="0" fillId="5" borderId="1" xfId="0" applyFill="1" applyBorder="1"/>
    <xf numFmtId="0" fontId="0" fillId="6" borderId="1" xfId="0" applyFill="1" applyBorder="1"/>
    <xf numFmtId="0" fontId="0" fillId="7" borderId="1" xfId="0" applyFill="1" applyBorder="1"/>
    <xf numFmtId="0" fontId="4" fillId="2" borderId="0" xfId="0" applyFont="1" applyFill="1" applyBorder="1"/>
    <xf numFmtId="0" fontId="16" fillId="0" borderId="0" xfId="0" applyFont="1" applyFill="1" applyBorder="1" applyAlignment="1">
      <alignment vertical="top"/>
    </xf>
    <xf numFmtId="0" fontId="0" fillId="0" borderId="0" xfId="0" applyBorder="1"/>
    <xf numFmtId="0" fontId="12" fillId="0" borderId="2" xfId="0" applyFont="1" applyBorder="1"/>
    <xf numFmtId="0" fontId="17" fillId="0" borderId="0" xfId="0" applyFont="1" applyBorder="1"/>
    <xf numFmtId="0" fontId="17" fillId="0" borderId="0" xfId="0" applyFont="1" applyFill="1" applyBorder="1"/>
    <xf numFmtId="0" fontId="3" fillId="0" borderId="0" xfId="0" applyFont="1" applyBorder="1"/>
    <xf numFmtId="0" fontId="0" fillId="0" borderId="0" xfId="0" applyFill="1" applyBorder="1"/>
    <xf numFmtId="0" fontId="4" fillId="8" borderId="3" xfId="0" applyFont="1" applyFill="1" applyBorder="1"/>
    <xf numFmtId="0" fontId="19" fillId="0" borderId="0" xfId="0" applyFont="1" applyBorder="1"/>
    <xf numFmtId="0" fontId="3" fillId="9" borderId="0" xfId="0" applyFont="1" applyFill="1"/>
    <xf numFmtId="0" fontId="0" fillId="9" borderId="0" xfId="0" applyFill="1" applyAlignment="1">
      <alignment horizontal="right"/>
    </xf>
    <xf numFmtId="0" fontId="0" fillId="9" borderId="0" xfId="0" applyFill="1"/>
    <xf numFmtId="0" fontId="0" fillId="9" borderId="0" xfId="0" applyFill="1" applyBorder="1" applyAlignment="1">
      <alignment horizontal="right"/>
    </xf>
    <xf numFmtId="0" fontId="4" fillId="9" borderId="0" xfId="0" applyFont="1" applyFill="1" applyBorder="1"/>
    <xf numFmtId="0" fontId="0" fillId="9" borderId="0" xfId="0" applyFill="1" applyBorder="1"/>
    <xf numFmtId="0" fontId="6" fillId="9" borderId="1" xfId="0" applyFont="1" applyFill="1" applyBorder="1" applyAlignment="1">
      <alignment horizontal="left"/>
    </xf>
    <xf numFmtId="0" fontId="8" fillId="9" borderId="1" xfId="0" applyFont="1" applyFill="1" applyBorder="1" applyAlignment="1">
      <alignment horizontal="right"/>
    </xf>
    <xf numFmtId="165" fontId="8" fillId="9" borderId="1" xfId="0" applyNumberFormat="1" applyFont="1" applyFill="1" applyBorder="1" applyAlignment="1">
      <alignment horizontal="right"/>
    </xf>
    <xf numFmtId="170" fontId="4" fillId="9" borderId="0" xfId="0" applyNumberFormat="1" applyFont="1" applyFill="1" applyBorder="1" applyAlignment="1">
      <alignment horizontal="right"/>
    </xf>
    <xf numFmtId="0" fontId="3" fillId="9" borderId="0" xfId="0" applyFont="1" applyFill="1" applyBorder="1"/>
    <xf numFmtId="3" fontId="0" fillId="9" borderId="0" xfId="0" applyNumberFormat="1" applyFill="1"/>
    <xf numFmtId="0" fontId="20" fillId="9" borderId="0" xfId="0" applyFont="1" applyFill="1"/>
    <xf numFmtId="0" fontId="10" fillId="8" borderId="2" xfId="0" applyFont="1" applyFill="1" applyBorder="1"/>
    <xf numFmtId="0" fontId="0" fillId="8" borderId="8" xfId="0" applyFill="1" applyBorder="1" applyAlignment="1">
      <alignment horizontal="right"/>
    </xf>
    <xf numFmtId="0" fontId="0" fillId="8" borderId="9" xfId="0" applyFill="1" applyBorder="1"/>
    <xf numFmtId="0" fontId="0" fillId="8" borderId="4" xfId="0" applyFill="1" applyBorder="1"/>
    <xf numFmtId="1" fontId="11" fillId="8" borderId="0" xfId="2" applyNumberFormat="1" applyFont="1" applyFill="1" applyBorder="1" applyAlignment="1">
      <alignment horizontal="right"/>
    </xf>
    <xf numFmtId="0" fontId="4" fillId="8" borderId="4" xfId="0" applyFont="1" applyFill="1" applyBorder="1"/>
    <xf numFmtId="0" fontId="0" fillId="8" borderId="0" xfId="0" applyFill="1" applyBorder="1" applyAlignment="1">
      <alignment horizontal="left"/>
    </xf>
    <xf numFmtId="0" fontId="4" fillId="8" borderId="5" xfId="0" applyFont="1" applyFill="1" applyBorder="1"/>
    <xf numFmtId="0" fontId="0" fillId="8" borderId="6" xfId="0" applyFill="1" applyBorder="1" applyAlignment="1">
      <alignment horizontal="left"/>
    </xf>
    <xf numFmtId="0" fontId="0" fillId="8" borderId="7" xfId="0" applyFill="1" applyBorder="1"/>
    <xf numFmtId="3" fontId="0" fillId="9" borderId="0" xfId="0" applyNumberFormat="1" applyFill="1" applyBorder="1" applyAlignment="1">
      <alignment horizontal="right"/>
    </xf>
    <xf numFmtId="0" fontId="0" fillId="12" borderId="1" xfId="0" applyFill="1" applyBorder="1"/>
    <xf numFmtId="0" fontId="4" fillId="12" borderId="1" xfId="0" applyFont="1" applyFill="1" applyBorder="1"/>
    <xf numFmtId="3" fontId="4" fillId="12" borderId="1" xfId="0" applyNumberFormat="1" applyFont="1" applyFill="1" applyBorder="1" applyAlignment="1">
      <alignment horizontal="right"/>
    </xf>
    <xf numFmtId="3" fontId="0" fillId="12" borderId="1" xfId="0" applyNumberFormat="1" applyFill="1" applyBorder="1" applyAlignment="1">
      <alignment horizontal="right"/>
    </xf>
    <xf numFmtId="3" fontId="13" fillId="12" borderId="1" xfId="3" applyNumberFormat="1" applyFont="1" applyFill="1" applyBorder="1" applyAlignment="1">
      <alignment horizontal="right"/>
    </xf>
    <xf numFmtId="2" fontId="0" fillId="12" borderId="1" xfId="0" applyNumberFormat="1" applyFill="1" applyBorder="1" applyAlignment="1">
      <alignment horizontal="right"/>
    </xf>
    <xf numFmtId="0" fontId="3" fillId="9" borderId="0" xfId="0" quotePrefix="1" applyFont="1" applyFill="1" applyAlignment="1">
      <alignment horizontal="left"/>
    </xf>
    <xf numFmtId="0" fontId="14" fillId="2" borderId="0" xfId="0" applyFont="1" applyFill="1" applyBorder="1"/>
    <xf numFmtId="0" fontId="23" fillId="0" borderId="0" xfId="0" applyFont="1" applyBorder="1"/>
    <xf numFmtId="0" fontId="24" fillId="0" borderId="0" xfId="0" applyFont="1" applyBorder="1"/>
    <xf numFmtId="0" fontId="23" fillId="0" borderId="0" xfId="0" quotePrefix="1" applyFont="1" applyBorder="1" applyAlignment="1">
      <alignment horizontal="left"/>
    </xf>
    <xf numFmtId="0" fontId="23" fillId="0" borderId="0" xfId="0" applyFont="1" applyBorder="1" applyAlignment="1">
      <alignment horizontal="left"/>
    </xf>
    <xf numFmtId="0" fontId="23" fillId="0" borderId="0" xfId="0" quotePrefix="1" applyFont="1" applyFill="1" applyBorder="1" applyAlignment="1">
      <alignment horizontal="left"/>
    </xf>
    <xf numFmtId="3" fontId="4" fillId="9" borderId="1" xfId="0" applyNumberFormat="1" applyFont="1" applyFill="1" applyBorder="1" applyAlignment="1" applyProtection="1">
      <alignment horizontal="right"/>
      <protection locked="0"/>
    </xf>
    <xf numFmtId="9" fontId="4" fillId="9" borderId="1" xfId="2" applyFont="1" applyFill="1" applyBorder="1" applyAlignment="1" applyProtection="1">
      <alignment horizontal="right"/>
      <protection locked="0"/>
    </xf>
    <xf numFmtId="3" fontId="0" fillId="11" borderId="1" xfId="0" applyNumberFormat="1" applyFill="1" applyBorder="1" applyAlignment="1" applyProtection="1">
      <alignment horizontal="right"/>
      <protection locked="0"/>
    </xf>
    <xf numFmtId="0" fontId="3" fillId="9" borderId="0" xfId="0" applyFont="1" applyFill="1" applyProtection="1">
      <protection hidden="1"/>
    </xf>
    <xf numFmtId="0" fontId="0" fillId="9" borderId="0" xfId="0" applyFill="1" applyAlignment="1" applyProtection="1">
      <alignment horizontal="right"/>
      <protection hidden="1"/>
    </xf>
    <xf numFmtId="0" fontId="0" fillId="9" borderId="0" xfId="0" applyFill="1" applyProtection="1">
      <protection hidden="1"/>
    </xf>
    <xf numFmtId="0" fontId="10" fillId="8" borderId="2" xfId="0" applyFont="1" applyFill="1" applyBorder="1" applyProtection="1">
      <protection hidden="1"/>
    </xf>
    <xf numFmtId="0" fontId="0" fillId="8" borderId="8" xfId="0" applyFill="1" applyBorder="1" applyAlignment="1" applyProtection="1">
      <alignment horizontal="right"/>
      <protection hidden="1"/>
    </xf>
    <xf numFmtId="0" fontId="0" fillId="8" borderId="9" xfId="0" applyFill="1" applyBorder="1" applyProtection="1">
      <protection hidden="1"/>
    </xf>
    <xf numFmtId="0" fontId="0" fillId="8" borderId="4" xfId="0" applyFill="1" applyBorder="1" applyProtection="1">
      <protection hidden="1"/>
    </xf>
    <xf numFmtId="0" fontId="4" fillId="8" borderId="3" xfId="0" applyFont="1" applyFill="1" applyBorder="1" applyProtection="1">
      <protection hidden="1"/>
    </xf>
    <xf numFmtId="1" fontId="11" fillId="8" borderId="0" xfId="2" applyNumberFormat="1" applyFont="1" applyFill="1" applyBorder="1" applyAlignment="1" applyProtection="1">
      <alignment horizontal="right"/>
      <protection hidden="1"/>
    </xf>
    <xf numFmtId="0" fontId="4" fillId="8" borderId="4" xfId="0" applyFont="1" applyFill="1" applyBorder="1" applyProtection="1">
      <protection hidden="1"/>
    </xf>
    <xf numFmtId="0" fontId="0" fillId="8" borderId="0" xfId="0" applyFill="1" applyBorder="1" applyAlignment="1" applyProtection="1">
      <alignment horizontal="left"/>
      <protection hidden="1"/>
    </xf>
    <xf numFmtId="166" fontId="0" fillId="9" borderId="0" xfId="0" applyNumberFormat="1" applyFill="1" applyProtection="1">
      <protection hidden="1"/>
    </xf>
    <xf numFmtId="0" fontId="4" fillId="8" borderId="5" xfId="0" applyFont="1" applyFill="1" applyBorder="1" applyProtection="1">
      <protection hidden="1"/>
    </xf>
    <xf numFmtId="0" fontId="0" fillId="8" borderId="6" xfId="0" applyFill="1" applyBorder="1" applyAlignment="1" applyProtection="1">
      <alignment horizontal="left"/>
      <protection hidden="1"/>
    </xf>
    <xf numFmtId="0" fontId="0" fillId="8" borderId="7" xfId="0" applyFill="1" applyBorder="1" applyProtection="1">
      <protection hidden="1"/>
    </xf>
    <xf numFmtId="0" fontId="4" fillId="9" borderId="0" xfId="0" applyFont="1" applyFill="1" applyBorder="1" applyProtection="1">
      <protection hidden="1"/>
    </xf>
    <xf numFmtId="0" fontId="0" fillId="9" borderId="0" xfId="0" applyFill="1" applyBorder="1" applyAlignment="1" applyProtection="1">
      <alignment horizontal="right"/>
      <protection hidden="1"/>
    </xf>
    <xf numFmtId="0" fontId="0" fillId="9" borderId="0" xfId="0" applyFill="1" applyBorder="1" applyProtection="1">
      <protection hidden="1"/>
    </xf>
    <xf numFmtId="0" fontId="4" fillId="10" borderId="1" xfId="0" applyFont="1" applyFill="1" applyBorder="1" applyProtection="1">
      <protection hidden="1"/>
    </xf>
    <xf numFmtId="3" fontId="4" fillId="9" borderId="1" xfId="0" applyNumberFormat="1" applyFont="1" applyFill="1" applyBorder="1" applyAlignment="1" applyProtection="1">
      <alignment horizontal="right"/>
      <protection locked="0" hidden="1"/>
    </xf>
    <xf numFmtId="0" fontId="0" fillId="10" borderId="1" xfId="0" applyFill="1" applyBorder="1" applyProtection="1">
      <protection hidden="1"/>
    </xf>
    <xf numFmtId="9" fontId="4" fillId="9" borderId="1" xfId="2" applyFont="1" applyFill="1" applyBorder="1" applyAlignment="1" applyProtection="1">
      <alignment horizontal="right"/>
      <protection locked="0" hidden="1"/>
    </xf>
    <xf numFmtId="3" fontId="0" fillId="11" borderId="1" xfId="0" applyNumberFormat="1" applyFill="1" applyBorder="1" applyAlignment="1" applyProtection="1">
      <alignment horizontal="right"/>
      <protection locked="0" hidden="1"/>
    </xf>
    <xf numFmtId="0" fontId="6" fillId="9" borderId="1" xfId="0" applyFont="1" applyFill="1" applyBorder="1" applyAlignment="1" applyProtection="1">
      <alignment horizontal="left"/>
      <protection hidden="1"/>
    </xf>
    <xf numFmtId="0" fontId="8" fillId="9" borderId="1" xfId="0" applyFont="1" applyFill="1" applyBorder="1" applyAlignment="1" applyProtection="1">
      <alignment horizontal="right"/>
      <protection hidden="1"/>
    </xf>
    <xf numFmtId="165" fontId="8" fillId="9" borderId="1" xfId="0" applyNumberFormat="1" applyFont="1" applyFill="1" applyBorder="1" applyAlignment="1" applyProtection="1">
      <alignment horizontal="right"/>
      <protection hidden="1"/>
    </xf>
    <xf numFmtId="170" fontId="4" fillId="9" borderId="0" xfId="0" applyNumberFormat="1" applyFont="1" applyFill="1" applyBorder="1" applyAlignment="1" applyProtection="1">
      <alignment horizontal="right"/>
      <protection hidden="1"/>
    </xf>
    <xf numFmtId="3" fontId="4" fillId="10" borderId="1" xfId="0" applyNumberFormat="1" applyFont="1" applyFill="1" applyBorder="1" applyAlignment="1" applyProtection="1">
      <alignment horizontal="right"/>
      <protection hidden="1"/>
    </xf>
    <xf numFmtId="3" fontId="0" fillId="10" borderId="1" xfId="0" applyNumberFormat="1" applyFill="1" applyBorder="1" applyAlignment="1" applyProtection="1">
      <alignment horizontal="right"/>
      <protection hidden="1"/>
    </xf>
    <xf numFmtId="3" fontId="0" fillId="9" borderId="0" xfId="0" applyNumberFormat="1" applyFill="1" applyAlignment="1" applyProtection="1">
      <alignment horizontal="right"/>
      <protection hidden="1"/>
    </xf>
    <xf numFmtId="0" fontId="3" fillId="9" borderId="0" xfId="0" applyFont="1" applyFill="1" applyBorder="1" applyProtection="1">
      <protection hidden="1"/>
    </xf>
    <xf numFmtId="3" fontId="0" fillId="9" borderId="0" xfId="0" applyNumberFormat="1" applyFill="1" applyProtection="1">
      <protection hidden="1"/>
    </xf>
    <xf numFmtId="0" fontId="20" fillId="9" borderId="0" xfId="0" applyFont="1" applyFill="1" applyProtection="1">
      <protection hidden="1"/>
    </xf>
    <xf numFmtId="172" fontId="4" fillId="9" borderId="0" xfId="3" applyNumberFormat="1" applyFont="1" applyFill="1" applyProtection="1">
      <protection hidden="1"/>
    </xf>
    <xf numFmtId="3" fontId="13" fillId="10" borderId="1" xfId="3" applyNumberFormat="1" applyFont="1" applyFill="1" applyBorder="1" applyAlignment="1" applyProtection="1">
      <alignment horizontal="right"/>
      <protection hidden="1"/>
    </xf>
    <xf numFmtId="2" fontId="0" fillId="10" borderId="1" xfId="0" applyNumberFormat="1" applyFill="1" applyBorder="1" applyAlignment="1" applyProtection="1">
      <alignment horizontal="right"/>
      <protection hidden="1"/>
    </xf>
    <xf numFmtId="0" fontId="6" fillId="9" borderId="0" xfId="0" applyFont="1" applyFill="1" applyBorder="1" applyAlignment="1" applyProtection="1">
      <alignment horizontal="left"/>
      <protection hidden="1"/>
    </xf>
    <xf numFmtId="0" fontId="4" fillId="12" borderId="1" xfId="0" applyFont="1" applyFill="1" applyBorder="1" applyProtection="1">
      <protection hidden="1"/>
    </xf>
    <xf numFmtId="0" fontId="0" fillId="12" borderId="1" xfId="0" applyFill="1" applyBorder="1" applyProtection="1">
      <protection hidden="1"/>
    </xf>
    <xf numFmtId="3" fontId="0" fillId="9" borderId="0" xfId="0" applyNumberFormat="1" applyFill="1" applyBorder="1" applyAlignment="1" applyProtection="1">
      <alignment horizontal="right"/>
      <protection hidden="1"/>
    </xf>
    <xf numFmtId="3" fontId="4" fillId="9" borderId="0" xfId="0" applyNumberFormat="1" applyFont="1" applyFill="1" applyBorder="1" applyAlignment="1" applyProtection="1">
      <alignment horizontal="right"/>
      <protection hidden="1"/>
    </xf>
    <xf numFmtId="3" fontId="0" fillId="9" borderId="0" xfId="0" applyNumberFormat="1" applyFill="1" applyBorder="1" applyProtection="1">
      <protection hidden="1"/>
    </xf>
    <xf numFmtId="3" fontId="4" fillId="12" borderId="1" xfId="0" applyNumberFormat="1" applyFont="1" applyFill="1" applyBorder="1" applyAlignment="1" applyProtection="1">
      <alignment horizontal="right"/>
      <protection hidden="1"/>
    </xf>
    <xf numFmtId="3" fontId="0" fillId="12" borderId="1" xfId="0" applyNumberFormat="1" applyFill="1" applyBorder="1" applyAlignment="1" applyProtection="1">
      <alignment horizontal="right"/>
      <protection hidden="1"/>
    </xf>
    <xf numFmtId="2" fontId="0" fillId="9" borderId="0" xfId="0" applyNumberFormat="1" applyFill="1" applyBorder="1" applyAlignment="1" applyProtection="1">
      <alignment horizontal="right"/>
      <protection hidden="1"/>
    </xf>
    <xf numFmtId="3" fontId="13" fillId="12" borderId="1" xfId="3" applyNumberFormat="1" applyFont="1" applyFill="1" applyBorder="1" applyAlignment="1" applyProtection="1">
      <alignment horizontal="right"/>
      <protection hidden="1"/>
    </xf>
    <xf numFmtId="2" fontId="0" fillId="12" borderId="1" xfId="0" applyNumberFormat="1" applyFill="1" applyBorder="1" applyAlignment="1" applyProtection="1">
      <alignment horizontal="right"/>
      <protection hidden="1"/>
    </xf>
    <xf numFmtId="3" fontId="0" fillId="9" borderId="1" xfId="0" applyNumberFormat="1" applyFill="1" applyBorder="1" applyAlignment="1" applyProtection="1">
      <alignment horizontal="right"/>
      <protection locked="0" hidden="1"/>
    </xf>
    <xf numFmtId="9" fontId="13" fillId="9" borderId="1" xfId="2" applyFont="1" applyFill="1" applyBorder="1" applyAlignment="1" applyProtection="1">
      <alignment horizontal="right"/>
      <protection locked="0" hidden="1"/>
    </xf>
    <xf numFmtId="2" fontId="0" fillId="9" borderId="0" xfId="0" applyNumberFormat="1" applyFill="1" applyProtection="1">
      <protection hidden="1"/>
    </xf>
    <xf numFmtId="3" fontId="1" fillId="9" borderId="1" xfId="2" applyNumberFormat="1" applyFill="1" applyBorder="1" applyAlignment="1" applyProtection="1">
      <alignment horizontal="right"/>
      <protection locked="0" hidden="1"/>
    </xf>
    <xf numFmtId="169" fontId="0" fillId="12" borderId="1" xfId="0" applyNumberFormat="1" applyFill="1" applyBorder="1" applyAlignment="1" applyProtection="1">
      <alignment horizontal="right"/>
      <protection hidden="1"/>
    </xf>
    <xf numFmtId="9" fontId="13" fillId="9" borderId="1" xfId="2" applyNumberFormat="1" applyFont="1" applyFill="1" applyBorder="1" applyAlignment="1" applyProtection="1">
      <alignment horizontal="right"/>
      <protection locked="0" hidden="1"/>
    </xf>
    <xf numFmtId="0" fontId="0" fillId="9" borderId="1" xfId="0" applyFill="1" applyBorder="1" applyAlignment="1" applyProtection="1">
      <alignment horizontal="right"/>
      <protection locked="0" hidden="1"/>
    </xf>
    <xf numFmtId="0" fontId="0" fillId="12" borderId="1" xfId="0" applyFill="1" applyBorder="1" applyAlignment="1" applyProtection="1">
      <alignment horizontal="left"/>
      <protection hidden="1"/>
    </xf>
    <xf numFmtId="0" fontId="4" fillId="11" borderId="1" xfId="0" applyFont="1" applyFill="1" applyBorder="1" applyAlignment="1" applyProtection="1">
      <alignment horizontal="right"/>
      <protection locked="0" hidden="1"/>
    </xf>
    <xf numFmtId="3" fontId="0" fillId="9" borderId="0" xfId="0" applyNumberFormat="1" applyFill="1" applyAlignment="1" applyProtection="1">
      <alignment horizontal="center"/>
      <protection hidden="1"/>
    </xf>
    <xf numFmtId="0" fontId="0" fillId="9" borderId="0" xfId="0" quotePrefix="1" applyFill="1" applyAlignment="1" applyProtection="1">
      <alignment horizontal="right"/>
      <protection hidden="1"/>
    </xf>
    <xf numFmtId="0" fontId="4" fillId="9" borderId="1" xfId="0" applyFont="1" applyFill="1" applyBorder="1" applyAlignment="1" applyProtection="1">
      <alignment horizontal="right"/>
      <protection locked="0" hidden="1"/>
    </xf>
    <xf numFmtId="0" fontId="3" fillId="9" borderId="0" xfId="0" applyFont="1" applyFill="1" applyBorder="1" applyAlignment="1" applyProtection="1">
      <alignment horizontal="right"/>
      <protection hidden="1"/>
    </xf>
    <xf numFmtId="0" fontId="0" fillId="9" borderId="0" xfId="0" applyFill="1" applyBorder="1" applyAlignment="1" applyProtection="1">
      <alignment horizontal="left"/>
      <protection hidden="1"/>
    </xf>
    <xf numFmtId="9" fontId="4" fillId="9" borderId="0" xfId="2" applyFont="1" applyFill="1" applyBorder="1" applyAlignment="1" applyProtection="1">
      <alignment horizontal="right"/>
      <protection hidden="1"/>
    </xf>
    <xf numFmtId="0" fontId="3" fillId="9" borderId="1" xfId="0" applyFont="1" applyFill="1" applyBorder="1" applyAlignment="1" applyProtection="1">
      <alignment horizontal="right"/>
      <protection hidden="1"/>
    </xf>
    <xf numFmtId="173" fontId="4" fillId="9" borderId="1" xfId="3" applyNumberFormat="1" applyFont="1" applyFill="1" applyBorder="1" applyAlignment="1" applyProtection="1">
      <alignment horizontal="right"/>
      <protection locked="0" hidden="1"/>
    </xf>
    <xf numFmtId="0" fontId="0" fillId="11" borderId="1" xfId="0" applyFill="1" applyBorder="1" applyAlignment="1" applyProtection="1">
      <alignment horizontal="right"/>
      <protection locked="0" hidden="1"/>
    </xf>
    <xf numFmtId="0" fontId="4" fillId="12" borderId="10" xfId="0" applyFont="1" applyFill="1" applyBorder="1" applyProtection="1">
      <protection hidden="1"/>
    </xf>
    <xf numFmtId="171" fontId="4" fillId="9" borderId="1" xfId="3" applyNumberFormat="1" applyFont="1" applyFill="1" applyBorder="1" applyAlignment="1" applyProtection="1">
      <alignment horizontal="right"/>
      <protection locked="0" hidden="1"/>
    </xf>
    <xf numFmtId="173" fontId="4" fillId="9" borderId="0" xfId="3" applyNumberFormat="1" applyFont="1" applyFill="1" applyBorder="1" applyAlignment="1" applyProtection="1">
      <alignment horizontal="center"/>
      <protection hidden="1"/>
    </xf>
    <xf numFmtId="0" fontId="2" fillId="9" borderId="0" xfId="0" applyFont="1" applyFill="1" applyProtection="1">
      <protection hidden="1"/>
    </xf>
    <xf numFmtId="3" fontId="3" fillId="9" borderId="1" xfId="0" applyNumberFormat="1" applyFont="1" applyFill="1" applyBorder="1" applyAlignment="1" applyProtection="1">
      <alignment horizontal="right"/>
      <protection hidden="1"/>
    </xf>
    <xf numFmtId="173" fontId="13" fillId="12" borderId="1" xfId="3" applyNumberFormat="1" applyFont="1" applyFill="1" applyBorder="1" applyAlignment="1" applyProtection="1">
      <alignment horizontal="right"/>
      <protection hidden="1"/>
    </xf>
    <xf numFmtId="173" fontId="13" fillId="12" borderId="1" xfId="3" applyNumberFormat="1" applyFont="1" applyFill="1" applyBorder="1" applyProtection="1">
      <protection hidden="1"/>
    </xf>
    <xf numFmtId="0" fontId="21" fillId="9" borderId="1" xfId="0" applyFont="1" applyFill="1" applyBorder="1" applyAlignment="1" applyProtection="1">
      <alignment horizontal="left"/>
      <protection hidden="1"/>
    </xf>
    <xf numFmtId="0" fontId="22" fillId="9" borderId="1" xfId="0" applyFont="1" applyFill="1" applyBorder="1" applyAlignment="1" applyProtection="1">
      <alignment horizontal="right"/>
      <protection hidden="1"/>
    </xf>
    <xf numFmtId="0" fontId="21" fillId="9" borderId="0" xfId="0" applyFont="1" applyFill="1" applyProtection="1">
      <protection hidden="1"/>
    </xf>
    <xf numFmtId="0" fontId="21" fillId="9" borderId="1" xfId="0" applyFont="1" applyFill="1" applyBorder="1" applyAlignment="1" applyProtection="1">
      <alignment horizontal="right"/>
      <protection hidden="1"/>
    </xf>
    <xf numFmtId="0" fontId="0" fillId="12" borderId="10" xfId="0" applyFill="1" applyBorder="1" applyProtection="1">
      <protection hidden="1"/>
    </xf>
    <xf numFmtId="9" fontId="4" fillId="9" borderId="11" xfId="2" applyFont="1" applyFill="1" applyBorder="1" applyAlignment="1" applyProtection="1">
      <alignment horizontal="right"/>
      <protection hidden="1"/>
    </xf>
    <xf numFmtId="0" fontId="0" fillId="9" borderId="0" xfId="0" applyFill="1" applyAlignment="1" applyProtection="1">
      <alignment horizontal="left"/>
      <protection hidden="1"/>
    </xf>
    <xf numFmtId="0" fontId="6" fillId="9" borderId="0" xfId="0" applyFont="1" applyFill="1" applyBorder="1" applyAlignment="1" applyProtection="1">
      <alignment horizontal="right"/>
      <protection hidden="1"/>
    </xf>
    <xf numFmtId="3" fontId="0" fillId="12" borderId="1" xfId="0" applyNumberFormat="1" applyFill="1" applyBorder="1" applyProtection="1">
      <protection hidden="1"/>
    </xf>
    <xf numFmtId="0" fontId="3" fillId="9" borderId="0" xfId="0" quotePrefix="1" applyFont="1" applyFill="1" applyAlignment="1" applyProtection="1">
      <alignment horizontal="left"/>
      <protection hidden="1"/>
    </xf>
    <xf numFmtId="0" fontId="3" fillId="9" borderId="0" xfId="0" applyFont="1" applyFill="1" applyAlignment="1" applyProtection="1">
      <alignment horizontal="left"/>
      <protection hidden="1"/>
    </xf>
    <xf numFmtId="0" fontId="7" fillId="9" borderId="0" xfId="0" applyFont="1" applyFill="1" applyProtection="1">
      <protection hidden="1"/>
    </xf>
    <xf numFmtId="0" fontId="4" fillId="9" borderId="0" xfId="0" applyFont="1" applyFill="1" applyProtection="1">
      <protection hidden="1"/>
    </xf>
    <xf numFmtId="168" fontId="0" fillId="11" borderId="1" xfId="0" applyNumberFormat="1" applyFill="1" applyBorder="1" applyAlignment="1" applyProtection="1">
      <alignment horizontal="right"/>
      <protection locked="0" hidden="1"/>
    </xf>
    <xf numFmtId="3" fontId="4" fillId="9" borderId="0" xfId="0" applyNumberFormat="1" applyFont="1" applyFill="1" applyProtection="1">
      <protection hidden="1"/>
    </xf>
    <xf numFmtId="4" fontId="0" fillId="11" borderId="1" xfId="0" applyNumberFormat="1" applyFill="1" applyBorder="1" applyAlignment="1" applyProtection="1">
      <alignment horizontal="right"/>
      <protection locked="0" hidden="1"/>
    </xf>
    <xf numFmtId="0" fontId="0" fillId="12" borderId="1" xfId="0" applyFill="1" applyBorder="1" applyAlignment="1" applyProtection="1">
      <alignment horizontal="right"/>
      <protection hidden="1"/>
    </xf>
    <xf numFmtId="0" fontId="8" fillId="9" borderId="0" xfId="0" applyFont="1" applyFill="1" applyBorder="1" applyAlignment="1" applyProtection="1">
      <alignment horizontal="right"/>
      <protection hidden="1"/>
    </xf>
    <xf numFmtId="3" fontId="4" fillId="9" borderId="0" xfId="0" applyNumberFormat="1" applyFont="1" applyFill="1" applyBorder="1" applyProtection="1">
      <protection hidden="1"/>
    </xf>
    <xf numFmtId="168" fontId="4" fillId="9" borderId="1" xfId="0" applyNumberFormat="1" applyFont="1" applyFill="1" applyBorder="1" applyAlignment="1" applyProtection="1">
      <alignment horizontal="right"/>
      <protection locked="0" hidden="1"/>
    </xf>
    <xf numFmtId="0" fontId="0" fillId="9" borderId="0" xfId="0" applyNumberFormat="1" applyFill="1" applyBorder="1" applyAlignment="1" applyProtection="1">
      <alignment horizontal="right"/>
      <protection hidden="1"/>
    </xf>
    <xf numFmtId="173" fontId="13" fillId="9" borderId="0" xfId="3" applyNumberFormat="1" applyFont="1" applyFill="1" applyProtection="1">
      <protection hidden="1"/>
    </xf>
    <xf numFmtId="3" fontId="4" fillId="11" borderId="1" xfId="0" applyNumberFormat="1" applyFont="1" applyFill="1" applyBorder="1" applyAlignment="1" applyProtection="1">
      <alignment horizontal="right"/>
      <protection locked="0" hidden="1"/>
    </xf>
    <xf numFmtId="0" fontId="1" fillId="0" borderId="9" xfId="0" applyFont="1" applyBorder="1"/>
    <xf numFmtId="0" fontId="1" fillId="0" borderId="3" xfId="0" applyFont="1" applyBorder="1"/>
    <xf numFmtId="0" fontId="1" fillId="0" borderId="3" xfId="0" applyFont="1" applyFill="1" applyBorder="1"/>
    <xf numFmtId="10" fontId="1" fillId="0" borderId="4" xfId="2" applyNumberFormat="1" applyFont="1" applyBorder="1"/>
    <xf numFmtId="0" fontId="1" fillId="0" borderId="5" xfId="0" applyFont="1" applyBorder="1"/>
    <xf numFmtId="0" fontId="1" fillId="0" borderId="7" xfId="0" applyFont="1" applyBorder="1" applyProtection="1">
      <protection locked="0"/>
    </xf>
    <xf numFmtId="0" fontId="18" fillId="0" borderId="2" xfId="0" applyFont="1" applyBorder="1" applyAlignment="1" applyProtection="1">
      <alignment vertical="top"/>
      <protection hidden="1"/>
    </xf>
    <xf numFmtId="0" fontId="12" fillId="0" borderId="8" xfId="0" applyFont="1" applyBorder="1" applyProtection="1">
      <protection hidden="1"/>
    </xf>
    <xf numFmtId="0" fontId="12" fillId="0" borderId="9" xfId="0" applyFont="1" applyBorder="1" applyAlignment="1" applyProtection="1">
      <alignment horizontal="right"/>
      <protection hidden="1"/>
    </xf>
    <xf numFmtId="0" fontId="16" fillId="0" borderId="3" xfId="0" applyFont="1" applyFill="1" applyBorder="1" applyAlignment="1" applyProtection="1">
      <alignment vertical="top"/>
      <protection hidden="1"/>
    </xf>
    <xf numFmtId="2" fontId="0" fillId="0" borderId="0" xfId="0" applyNumberFormat="1" applyFill="1" applyBorder="1" applyProtection="1">
      <protection hidden="1"/>
    </xf>
    <xf numFmtId="2" fontId="0" fillId="0" borderId="4" xfId="0" applyNumberFormat="1" applyFill="1" applyBorder="1" applyProtection="1">
      <protection hidden="1"/>
    </xf>
    <xf numFmtId="2" fontId="4" fillId="0" borderId="0" xfId="0" applyNumberFormat="1" applyFont="1" applyFill="1" applyBorder="1" applyProtection="1">
      <protection hidden="1"/>
    </xf>
    <xf numFmtId="2" fontId="1" fillId="0" borderId="4" xfId="0" applyNumberFormat="1" applyFont="1" applyFill="1" applyBorder="1" applyProtection="1">
      <protection hidden="1"/>
    </xf>
    <xf numFmtId="0" fontId="0" fillId="0" borderId="0" xfId="0" applyFill="1" applyBorder="1" applyProtection="1">
      <protection hidden="1"/>
    </xf>
    <xf numFmtId="0" fontId="0" fillId="0" borderId="4" xfId="0" applyFill="1" applyBorder="1" applyAlignment="1" applyProtection="1">
      <alignment horizontal="center"/>
      <protection hidden="1"/>
    </xf>
    <xf numFmtId="0" fontId="12" fillId="0" borderId="2" xfId="0" applyFont="1" applyFill="1" applyBorder="1" applyProtection="1">
      <protection hidden="1"/>
    </xf>
    <xf numFmtId="0" fontId="12" fillId="0" borderId="9" xfId="0" applyFont="1" applyFill="1" applyBorder="1" applyAlignment="1" applyProtection="1">
      <alignment horizontal="center"/>
      <protection hidden="1"/>
    </xf>
    <xf numFmtId="0" fontId="0" fillId="0" borderId="3" xfId="0" applyFill="1" applyBorder="1" applyProtection="1">
      <protection hidden="1"/>
    </xf>
    <xf numFmtId="0" fontId="4" fillId="0" borderId="3" xfId="0" applyFont="1" applyFill="1" applyBorder="1" applyProtection="1">
      <protection hidden="1"/>
    </xf>
    <xf numFmtId="0" fontId="0" fillId="0" borderId="3" xfId="0" quotePrefix="1" applyFill="1" applyBorder="1" applyAlignment="1" applyProtection="1">
      <alignment horizontal="left"/>
      <protection hidden="1"/>
    </xf>
    <xf numFmtId="0" fontId="0" fillId="0" borderId="4" xfId="0" quotePrefix="1" applyFill="1" applyBorder="1" applyAlignment="1" applyProtection="1">
      <alignment horizontal="center"/>
      <protection hidden="1"/>
    </xf>
    <xf numFmtId="0" fontId="0" fillId="0" borderId="5" xfId="0" applyFill="1" applyBorder="1" applyProtection="1">
      <protection hidden="1"/>
    </xf>
    <xf numFmtId="0" fontId="0" fillId="0" borderId="7" xfId="0" applyFill="1" applyBorder="1" applyAlignment="1" applyProtection="1">
      <alignment horizontal="center"/>
      <protection hidden="1"/>
    </xf>
    <xf numFmtId="0" fontId="1" fillId="12" borderId="1" xfId="0" applyFont="1" applyFill="1" applyBorder="1" applyProtection="1">
      <protection hidden="1"/>
    </xf>
    <xf numFmtId="0" fontId="1" fillId="9" borderId="0" xfId="0" applyFont="1" applyFill="1" applyBorder="1"/>
    <xf numFmtId="0" fontId="20" fillId="0" borderId="0" xfId="0" applyFont="1" applyBorder="1" applyProtection="1">
      <protection hidden="1"/>
    </xf>
    <xf numFmtId="10" fontId="20" fillId="0" borderId="0" xfId="2" applyNumberFormat="1" applyFont="1" applyBorder="1" applyProtection="1">
      <protection hidden="1"/>
    </xf>
    <xf numFmtId="0" fontId="20" fillId="0" borderId="0" xfId="0" applyFont="1" applyFill="1" applyBorder="1" applyProtection="1">
      <protection hidden="1"/>
    </xf>
    <xf numFmtId="167" fontId="20" fillId="0" borderId="0" xfId="0" applyNumberFormat="1" applyFont="1" applyFill="1" applyBorder="1" applyProtection="1">
      <protection hidden="1"/>
    </xf>
    <xf numFmtId="0" fontId="1" fillId="2" borderId="0" xfId="0" quotePrefix="1" applyFont="1" applyFill="1" applyBorder="1"/>
    <xf numFmtId="0" fontId="1" fillId="2" borderId="0" xfId="0" applyFont="1" applyFill="1" applyBorder="1"/>
    <xf numFmtId="0" fontId="1" fillId="9" borderId="0" xfId="0" applyFont="1" applyFill="1"/>
    <xf numFmtId="3" fontId="1" fillId="9" borderId="1" xfId="0" applyNumberFormat="1" applyFont="1" applyFill="1" applyBorder="1" applyAlignment="1" applyProtection="1">
      <alignment horizontal="right"/>
      <protection locked="0" hidden="1"/>
    </xf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25" fillId="0" borderId="5" xfId="0" applyFont="1" applyFill="1" applyBorder="1" applyAlignment="1" applyProtection="1">
      <alignment vertical="top"/>
      <protection hidden="1"/>
    </xf>
    <xf numFmtId="0" fontId="1" fillId="0" borderId="6" xfId="0" applyFont="1" applyFill="1" applyBorder="1" applyProtection="1">
      <protection hidden="1"/>
    </xf>
    <xf numFmtId="2" fontId="1" fillId="0" borderId="7" xfId="0" applyNumberFormat="1" applyFont="1" applyFill="1" applyBorder="1" applyProtection="1">
      <protection hidden="1"/>
    </xf>
    <xf numFmtId="9" fontId="1" fillId="0" borderId="4" xfId="2" applyFont="1" applyBorder="1"/>
    <xf numFmtId="0" fontId="1" fillId="0" borderId="3" xfId="0" applyFont="1" applyFill="1" applyBorder="1" applyProtection="1">
      <protection hidden="1"/>
    </xf>
    <xf numFmtId="0" fontId="5" fillId="2" borderId="0" xfId="1" applyFill="1" applyBorder="1" applyAlignment="1" applyProtection="1"/>
    <xf numFmtId="3" fontId="3" fillId="9" borderId="1" xfId="0" applyNumberFormat="1" applyFont="1" applyFill="1" applyBorder="1" applyAlignment="1" applyProtection="1">
      <alignment horizontal="center"/>
      <protection hidden="1"/>
    </xf>
    <xf numFmtId="0" fontId="3" fillId="9" borderId="1" xfId="0" applyFont="1" applyFill="1" applyBorder="1" applyAlignment="1" applyProtection="1">
      <alignment horizontal="center"/>
      <protection hidden="1"/>
    </xf>
  </cellXfs>
  <cellStyles count="4">
    <cellStyle name="Hyperkobling" xfId="1" builtinId="8"/>
    <cellStyle name="Komma" xfId="3" builtinId="3"/>
    <cellStyle name="Normal" xfId="0" builtinId="0"/>
    <cellStyle name="Prosent" xfId="2" builtinId="5"/>
  </cellStyles>
  <dxfs count="2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3"/>
  <sheetViews>
    <sheetView tabSelected="1" zoomScale="80" zoomScaleNormal="80" workbookViewId="0"/>
  </sheetViews>
  <sheetFormatPr baseColWidth="10" defaultRowHeight="12.75" x14ac:dyDescent="0.2"/>
  <cols>
    <col min="1" max="16384" width="11.42578125" style="1"/>
  </cols>
  <sheetData>
    <row r="1" spans="1:1" ht="18" x14ac:dyDescent="0.25">
      <c r="A1" s="49" t="s">
        <v>120</v>
      </c>
    </row>
    <row r="2" spans="1:1" x14ac:dyDescent="0.2">
      <c r="A2" s="8" t="s">
        <v>296</v>
      </c>
    </row>
    <row r="3" spans="1:1" x14ac:dyDescent="0.2">
      <c r="A3" s="183" t="s">
        <v>297</v>
      </c>
    </row>
    <row r="4" spans="1:1" x14ac:dyDescent="0.2">
      <c r="A4" s="183" t="s">
        <v>298</v>
      </c>
    </row>
    <row r="5" spans="1:1" x14ac:dyDescent="0.2">
      <c r="A5" s="183" t="s">
        <v>299</v>
      </c>
    </row>
    <row r="6" spans="1:1" x14ac:dyDescent="0.2">
      <c r="A6" s="183" t="s">
        <v>304</v>
      </c>
    </row>
    <row r="7" spans="1:1" x14ac:dyDescent="0.2">
      <c r="A7" s="184" t="s">
        <v>306</v>
      </c>
    </row>
    <row r="8" spans="1:1" x14ac:dyDescent="0.2">
      <c r="A8" s="8"/>
    </row>
    <row r="9" spans="1:1" x14ac:dyDescent="0.2">
      <c r="A9" s="28" t="s">
        <v>301</v>
      </c>
    </row>
    <row r="10" spans="1:1" x14ac:dyDescent="0.2">
      <c r="A10" s="178" t="s">
        <v>295</v>
      </c>
    </row>
    <row r="11" spans="1:1" s="20" customFormat="1" x14ac:dyDescent="0.2">
      <c r="A11" s="185" t="s">
        <v>300</v>
      </c>
    </row>
    <row r="12" spans="1:1" s="20" customFormat="1" x14ac:dyDescent="0.2">
      <c r="A12" s="185" t="s">
        <v>305</v>
      </c>
    </row>
    <row r="13" spans="1:1" s="20" customFormat="1" x14ac:dyDescent="0.2">
      <c r="A13" s="185"/>
    </row>
    <row r="14" spans="1:1" s="20" customFormat="1" x14ac:dyDescent="0.2">
      <c r="A14" s="185"/>
    </row>
    <row r="15" spans="1:1" x14ac:dyDescent="0.2">
      <c r="A15" s="184" t="s">
        <v>302</v>
      </c>
    </row>
    <row r="16" spans="1:1" x14ac:dyDescent="0.2">
      <c r="A16" s="1" t="s">
        <v>117</v>
      </c>
    </row>
    <row r="17" spans="1:4" x14ac:dyDescent="0.2">
      <c r="A17" s="1" t="s">
        <v>118</v>
      </c>
    </row>
    <row r="18" spans="1:4" x14ac:dyDescent="0.2">
      <c r="A18" s="1" t="s">
        <v>119</v>
      </c>
    </row>
    <row r="20" spans="1:4" x14ac:dyDescent="0.2">
      <c r="A20" s="1" t="s">
        <v>133</v>
      </c>
    </row>
    <row r="21" spans="1:4" x14ac:dyDescent="0.2">
      <c r="A21" s="3" t="s">
        <v>121</v>
      </c>
      <c r="B21" s="1" t="s">
        <v>122</v>
      </c>
    </row>
    <row r="22" spans="1:4" x14ac:dyDescent="0.2">
      <c r="A22" s="4" t="s">
        <v>123</v>
      </c>
      <c r="B22" s="1" t="s">
        <v>124</v>
      </c>
    </row>
    <row r="23" spans="1:4" x14ac:dyDescent="0.2">
      <c r="A23" s="5" t="s">
        <v>125</v>
      </c>
      <c r="B23" s="1" t="s">
        <v>126</v>
      </c>
    </row>
    <row r="24" spans="1:4" x14ac:dyDescent="0.2">
      <c r="A24" s="6" t="s">
        <v>127</v>
      </c>
      <c r="B24" s="1" t="s">
        <v>128</v>
      </c>
    </row>
    <row r="25" spans="1:4" x14ac:dyDescent="0.2">
      <c r="A25" s="7" t="s">
        <v>129</v>
      </c>
      <c r="B25" s="1" t="s">
        <v>130</v>
      </c>
    </row>
    <row r="27" spans="1:4" x14ac:dyDescent="0.2">
      <c r="A27" s="8" t="s">
        <v>213</v>
      </c>
    </row>
    <row r="28" spans="1:4" x14ac:dyDescent="0.2">
      <c r="A28" s="1" t="s">
        <v>131</v>
      </c>
    </row>
    <row r="29" spans="1:4" x14ac:dyDescent="0.2">
      <c r="A29" s="1" t="s">
        <v>132</v>
      </c>
    </row>
    <row r="31" spans="1:4" x14ac:dyDescent="0.2">
      <c r="A31" s="2" t="s">
        <v>248</v>
      </c>
    </row>
    <row r="32" spans="1:4" x14ac:dyDescent="0.2">
      <c r="A32" s="195" t="s">
        <v>198</v>
      </c>
      <c r="B32" s="195"/>
      <c r="C32" s="195"/>
      <c r="D32" s="195"/>
    </row>
    <row r="33" spans="1:6" x14ac:dyDescent="0.2">
      <c r="A33" s="195" t="s">
        <v>200</v>
      </c>
      <c r="B33" s="195"/>
      <c r="C33" s="195"/>
    </row>
    <row r="34" spans="1:6" x14ac:dyDescent="0.2">
      <c r="A34" s="195" t="s">
        <v>199</v>
      </c>
      <c r="B34" s="195"/>
    </row>
    <row r="35" spans="1:6" x14ac:dyDescent="0.2">
      <c r="A35" s="195" t="s">
        <v>262</v>
      </c>
      <c r="B35" s="195"/>
      <c r="C35" s="195"/>
    </row>
    <row r="36" spans="1:6" x14ac:dyDescent="0.2">
      <c r="A36" s="195" t="s">
        <v>201</v>
      </c>
      <c r="B36" s="195"/>
      <c r="C36" s="195"/>
    </row>
    <row r="37" spans="1:6" x14ac:dyDescent="0.2">
      <c r="A37" s="195" t="s">
        <v>202</v>
      </c>
      <c r="B37" s="195"/>
      <c r="C37" s="195"/>
    </row>
    <row r="38" spans="1:6" x14ac:dyDescent="0.2">
      <c r="A38" s="195" t="s">
        <v>203</v>
      </c>
      <c r="B38" s="195"/>
      <c r="C38" s="195"/>
      <c r="D38" s="195"/>
    </row>
    <row r="39" spans="1:6" x14ac:dyDescent="0.2">
      <c r="A39" s="195" t="s">
        <v>204</v>
      </c>
      <c r="B39" s="195"/>
      <c r="C39" s="195"/>
    </row>
    <row r="40" spans="1:6" x14ac:dyDescent="0.2">
      <c r="A40" s="195" t="s">
        <v>205</v>
      </c>
      <c r="B40" s="195"/>
      <c r="C40" s="195"/>
    </row>
    <row r="41" spans="1:6" x14ac:dyDescent="0.2">
      <c r="A41" s="195" t="s">
        <v>147</v>
      </c>
      <c r="B41" s="195"/>
      <c r="C41" s="195"/>
    </row>
    <row r="42" spans="1:6" x14ac:dyDescent="0.2">
      <c r="A42" s="195" t="s">
        <v>206</v>
      </c>
      <c r="B42" s="195"/>
      <c r="C42" s="195"/>
      <c r="D42" s="195"/>
    </row>
    <row r="43" spans="1:6" x14ac:dyDescent="0.2">
      <c r="A43" s="195" t="s">
        <v>5</v>
      </c>
      <c r="B43" s="195"/>
      <c r="C43" s="195"/>
      <c r="D43" s="195"/>
    </row>
    <row r="44" spans="1:6" x14ac:dyDescent="0.2">
      <c r="A44" s="195" t="s">
        <v>249</v>
      </c>
      <c r="B44" s="195"/>
      <c r="C44" s="195"/>
      <c r="D44" s="195"/>
      <c r="E44" s="195"/>
      <c r="F44" s="195"/>
    </row>
    <row r="45" spans="1:6" x14ac:dyDescent="0.2">
      <c r="A45" s="195" t="s">
        <v>207</v>
      </c>
      <c r="B45" s="195"/>
      <c r="C45" s="195"/>
      <c r="D45" s="195"/>
    </row>
    <row r="46" spans="1:6" x14ac:dyDescent="0.2">
      <c r="A46" s="195" t="s">
        <v>208</v>
      </c>
      <c r="B46" s="195"/>
      <c r="C46" s="195"/>
      <c r="D46" s="195"/>
    </row>
    <row r="47" spans="1:6" x14ac:dyDescent="0.2">
      <c r="A47" s="195" t="s">
        <v>209</v>
      </c>
      <c r="B47" s="195"/>
      <c r="C47" s="195"/>
      <c r="D47" s="195"/>
    </row>
    <row r="48" spans="1:6" x14ac:dyDescent="0.2">
      <c r="A48" s="195" t="s">
        <v>261</v>
      </c>
      <c r="B48" s="195"/>
      <c r="C48" s="195"/>
      <c r="D48" s="195"/>
      <c r="E48" s="195"/>
      <c r="F48" s="195"/>
    </row>
    <row r="49" spans="1:4" x14ac:dyDescent="0.2">
      <c r="A49" s="195" t="s">
        <v>27</v>
      </c>
      <c r="B49" s="195"/>
      <c r="C49" s="195"/>
      <c r="D49" s="195"/>
    </row>
    <row r="50" spans="1:4" x14ac:dyDescent="0.2">
      <c r="A50" s="195" t="s">
        <v>29</v>
      </c>
      <c r="B50" s="195"/>
      <c r="C50" s="195"/>
      <c r="D50" s="195"/>
    </row>
    <row r="51" spans="1:4" x14ac:dyDescent="0.2">
      <c r="A51" s="195" t="s">
        <v>28</v>
      </c>
      <c r="B51" s="195"/>
      <c r="C51" s="195"/>
      <c r="D51" s="195"/>
    </row>
    <row r="52" spans="1:4" x14ac:dyDescent="0.2">
      <c r="A52" s="195" t="s">
        <v>210</v>
      </c>
      <c r="B52" s="195"/>
      <c r="C52" s="195"/>
      <c r="D52" s="195"/>
    </row>
    <row r="53" spans="1:4" x14ac:dyDescent="0.2">
      <c r="A53" s="195" t="s">
        <v>211</v>
      </c>
      <c r="B53" s="195"/>
      <c r="C53" s="195"/>
      <c r="D53" s="195"/>
    </row>
    <row r="54" spans="1:4" x14ac:dyDescent="0.2">
      <c r="A54" s="195" t="s">
        <v>212</v>
      </c>
      <c r="B54" s="195"/>
      <c r="C54" s="195"/>
      <c r="D54" s="195"/>
    </row>
    <row r="55" spans="1:4" x14ac:dyDescent="0.2">
      <c r="A55" s="195" t="s">
        <v>31</v>
      </c>
      <c r="B55" s="195"/>
      <c r="C55" s="195"/>
      <c r="D55" s="195"/>
    </row>
    <row r="56" spans="1:4" x14ac:dyDescent="0.2">
      <c r="A56" s="195" t="s">
        <v>263</v>
      </c>
      <c r="B56" s="195"/>
      <c r="C56" s="195"/>
      <c r="D56" s="195"/>
    </row>
    <row r="57" spans="1:4" x14ac:dyDescent="0.2">
      <c r="A57" s="195" t="s">
        <v>33</v>
      </c>
      <c r="B57" s="195"/>
      <c r="C57" s="195"/>
      <c r="D57" s="195"/>
    </row>
    <row r="58" spans="1:4" x14ac:dyDescent="0.2">
      <c r="A58" s="195" t="s">
        <v>34</v>
      </c>
      <c r="B58" s="195"/>
      <c r="C58" s="195"/>
      <c r="D58" s="195"/>
    </row>
    <row r="59" spans="1:4" x14ac:dyDescent="0.2">
      <c r="A59" s="195" t="s">
        <v>195</v>
      </c>
      <c r="B59" s="195"/>
      <c r="C59" s="195"/>
      <c r="D59" s="195"/>
    </row>
    <row r="60" spans="1:4" x14ac:dyDescent="0.2">
      <c r="A60" s="195" t="s">
        <v>196</v>
      </c>
      <c r="B60" s="195"/>
      <c r="C60" s="195"/>
      <c r="D60" s="195"/>
    </row>
    <row r="63" spans="1:4" x14ac:dyDescent="0.2">
      <c r="A63" s="2"/>
    </row>
  </sheetData>
  <sheetProtection algorithmName="SHA-512" hashValue="jJglDWuTtA++yMk641qX35VzjvpZP4SrmwUMZEmC7hE/ql43/+Ufn1mdOnwVz3Nogs+UWjVPagpfhjLpmh9IwQ==" saltValue="AtHCb1NCO6eOo1fIy87eTA==" spinCount="100000" sheet="1" objects="1" scenarios="1" selectLockedCells="1"/>
  <mergeCells count="29">
    <mergeCell ref="A58:D58"/>
    <mergeCell ref="A59:D59"/>
    <mergeCell ref="A60:D60"/>
    <mergeCell ref="A48:F48"/>
    <mergeCell ref="A44:F44"/>
    <mergeCell ref="A52:D52"/>
    <mergeCell ref="A53:D53"/>
    <mergeCell ref="A54:D54"/>
    <mergeCell ref="A55:D55"/>
    <mergeCell ref="A56:D56"/>
    <mergeCell ref="A42:D42"/>
    <mergeCell ref="A43:D43"/>
    <mergeCell ref="A57:D57"/>
    <mergeCell ref="A45:D45"/>
    <mergeCell ref="A46:D46"/>
    <mergeCell ref="A47:D47"/>
    <mergeCell ref="A49:D49"/>
    <mergeCell ref="A50:D50"/>
    <mergeCell ref="A51:D51"/>
    <mergeCell ref="A37:C37"/>
    <mergeCell ref="A38:D38"/>
    <mergeCell ref="A39:C39"/>
    <mergeCell ref="A40:C40"/>
    <mergeCell ref="A41:C41"/>
    <mergeCell ref="A32:D32"/>
    <mergeCell ref="A34:B34"/>
    <mergeCell ref="A33:C33"/>
    <mergeCell ref="A35:C35"/>
    <mergeCell ref="A36:C36"/>
  </mergeCells>
  <phoneticPr fontId="2" type="noConversion"/>
  <hyperlinks>
    <hyperlink ref="A32" location="Sykkelparkering!A1" display="Låsbar sykkelparkering under tak ved holdeplass"/>
    <hyperlink ref="A34" location="'Sitteplass på hpl'!A1" display="Sitteplass på holdeplass"/>
    <hyperlink ref="A33" location="'Leskur u sitteplass'!A1" display="Leskur uten sitteplass på holdeplass"/>
    <hyperlink ref="A35" location="'Leskur m sitteplass'!A1" display="Leskur med sitteplass på holdeplass"/>
    <hyperlink ref="A36" location="'Renhold på hpl'!A1" display="Økt renhold på holdeplass"/>
    <hyperlink ref="A37" location="'Fjerning av is snø på hpl'!A1" display="Økt fjerning av is og snø på holdeplass"/>
    <hyperlink ref="A38" location="'Opphøyet hpl'!A1" display="Opphøyet holdeplass for enklere av/-påstigning"/>
    <hyperlink ref="A39" location="'Lokalkart på hpl'!A1" display="Lokalt kart på holdeplass"/>
    <hyperlink ref="A40" location="'Rutekart på hpl'!A1" display="Rutekart på holdeplass"/>
    <hyperlink ref="A41" location="'Rutetabell på hpl'!A1" display="Rutetabell på holdeplass"/>
    <hyperlink ref="A42" location="'Skilting i buss'!A1" display="Elektronisk skilting om bord om neste holdeplass"/>
    <hyperlink ref="A43" location="Hpl.opprop!A1" display="Opprop av neste holdeplass om bord"/>
    <hyperlink ref="A45" location="'Destinasjonsskilt på buss'!A1" display="Destinasjonsskilt bak og på siden av bussen"/>
    <hyperlink ref="A46" location="SIS!A1" display="Sanntidsinformasjon på holdeplassen"/>
    <hyperlink ref="A47" location="Avviksinformasjon!A1" display="Informasjon over høyttaler på holdeplass om avvik"/>
    <hyperlink ref="A49" location="Belysning!A1" display="Belysning på holdeplass"/>
    <hyperlink ref="A50" location="Nødtelefon!A1" display="Alarmsystemer på holdeplass"/>
    <hyperlink ref="A51" location="Vektere!A1" display="Vektere"/>
    <hyperlink ref="A52" location="Bussrenhold!A1" display="Ekstra renhold på kjøretøy"/>
    <hyperlink ref="A53" location="Laventrebuss!A1" display="Lavgulvbuss"/>
    <hyperlink ref="A54" location="Kantsteinstopp!A1" display="Omgjøring av busslomme til kantsteinstopp ved fortau"/>
    <hyperlink ref="A55" location="'Koll.prioritering lyskryss'!A1" display="Signalprioritering av kollektivtransport i lyskryss"/>
    <hyperlink ref="A56" location="'Koll.prioritering Skilt'!A1" display="Kollektivprioritering ved skilting i lyskryss"/>
    <hyperlink ref="A57" location="'Flytte holdeplass'!A1" display="Flytte holdeplass"/>
    <hyperlink ref="A58" location="'Nedlegge holdeplass'!A1" display="Nedlegge holdeplass"/>
    <hyperlink ref="A59" location="'Opprette holdeplass'!A1" display="Opprette holdeplass"/>
    <hyperlink ref="A60" location="'Anropstyrt holdeplass'!A1" display="Omgjøring til anropstyrt holdeplass"/>
    <hyperlink ref="A48" location="'Pakke holdeplass'!A1" display="Pakke: "/>
    <hyperlink ref="A44" location="'Pakke kjøretøy'!A1" display="Pakke: "/>
    <hyperlink ref="A50:D50" location="'Alarmsystem på hpl'!A1" display="Alarmsystemer på holdeplass"/>
    <hyperlink ref="A35:C35" location="'Leskur m sitteplass'!A1" display="Pakke: Leskur med sitteplass på holdeplass"/>
    <hyperlink ref="A47:D47" location="'Avviksinformasjon høyttaler'!A1" display="Informasjon over høyttaler på holdeplass om avvik"/>
    <hyperlink ref="A48:F48" location="'Pakke Lokalkart SIS høyttaler'!A1" display="Pakke: Lokalkart, opprop om avvik og sanntidsinformasjon på holdeplass"/>
    <hyperlink ref="A44:F44" location="'Pakke skilt og opprop i buss'!A1" display="Pakke: Opprop om neste holdeplass og elektronisk skilting om bord"/>
  </hyperlinks>
  <pageMargins left="0.42" right="0.37" top="0.98425196850393704" bottom="0.98425196850393704" header="0.51181102362204722" footer="0.51181102362204722"/>
  <pageSetup paperSize="9" scale="77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8">
    <tabColor indexed="44"/>
    <pageSetUpPr fitToPage="1"/>
  </sheetPr>
  <dimension ref="A1:K51"/>
  <sheetViews>
    <sheetView workbookViewId="0">
      <selection activeCell="B8" sqref="B8"/>
    </sheetView>
  </sheetViews>
  <sheetFormatPr baseColWidth="10" defaultRowHeight="12.75" x14ac:dyDescent="0.2"/>
  <cols>
    <col min="1" max="1" width="46.5703125" style="60" customWidth="1"/>
    <col min="2" max="2" width="15.28515625" style="59" customWidth="1"/>
    <col min="3" max="16384" width="11.42578125" style="60"/>
  </cols>
  <sheetData>
    <row r="1" spans="1:3" ht="13.5" thickBot="1" x14ac:dyDescent="0.25">
      <c r="A1" s="139" t="s">
        <v>72</v>
      </c>
    </row>
    <row r="2" spans="1:3" x14ac:dyDescent="0.2">
      <c r="A2" s="61" t="s">
        <v>156</v>
      </c>
      <c r="B2" s="62"/>
      <c r="C2" s="63"/>
    </row>
    <row r="3" spans="1:3" x14ac:dyDescent="0.2">
      <c r="A3" s="65" t="s">
        <v>188</v>
      </c>
      <c r="B3" s="66">
        <f>Analyseperiode</f>
        <v>40</v>
      </c>
      <c r="C3" s="67" t="s">
        <v>104</v>
      </c>
    </row>
    <row r="4" spans="1:3" x14ac:dyDescent="0.2">
      <c r="A4" s="65" t="s">
        <v>189</v>
      </c>
      <c r="B4" s="68"/>
      <c r="C4" s="64"/>
    </row>
    <row r="5" spans="1:3" ht="13.5" thickBot="1" x14ac:dyDescent="0.25">
      <c r="A5" s="70" t="s">
        <v>215</v>
      </c>
      <c r="B5" s="71"/>
      <c r="C5" s="72"/>
    </row>
    <row r="7" spans="1:3" x14ac:dyDescent="0.2">
      <c r="A7" s="58" t="s">
        <v>13</v>
      </c>
    </row>
    <row r="8" spans="1:3" x14ac:dyDescent="0.2">
      <c r="A8" s="96" t="s">
        <v>36</v>
      </c>
      <c r="B8" s="77" t="s">
        <v>40</v>
      </c>
      <c r="C8" s="60" t="s">
        <v>270</v>
      </c>
    </row>
    <row r="9" spans="1:3" x14ac:dyDescent="0.2">
      <c r="A9" s="96" t="s">
        <v>77</v>
      </c>
      <c r="B9" s="77" t="s">
        <v>40</v>
      </c>
      <c r="C9" s="60" t="s">
        <v>271</v>
      </c>
    </row>
    <row r="10" spans="1:3" x14ac:dyDescent="0.2">
      <c r="A10" s="96" t="s">
        <v>96</v>
      </c>
      <c r="B10" s="79">
        <v>0</v>
      </c>
      <c r="C10" s="60" t="s">
        <v>51</v>
      </c>
    </row>
    <row r="11" spans="1:3" x14ac:dyDescent="0.2">
      <c r="A11" s="96" t="s">
        <v>37</v>
      </c>
      <c r="B11" s="80">
        <f>Forutsetninger!G17</f>
        <v>10</v>
      </c>
    </row>
    <row r="12" spans="1:3" x14ac:dyDescent="0.2">
      <c r="A12" s="96" t="s">
        <v>269</v>
      </c>
      <c r="B12" s="105" t="s">
        <v>40</v>
      </c>
      <c r="C12" s="60" t="s">
        <v>134</v>
      </c>
    </row>
    <row r="14" spans="1:3" hidden="1" x14ac:dyDescent="0.2">
      <c r="A14" s="81" t="s">
        <v>111</v>
      </c>
      <c r="B14" s="82">
        <f>INT(Analyseperiode/B11)+1</f>
        <v>5</v>
      </c>
    </row>
    <row r="15" spans="1:3" hidden="1" x14ac:dyDescent="0.2">
      <c r="A15" s="81" t="s">
        <v>140</v>
      </c>
      <c r="B15" s="83">
        <f>(1-((1+Drente)^(-B11*B14)))/(1-((1+Drente)^(-B11)))+((Analyseperiode-(B11*B14))/(B11*((1+Drente)^Analyseperiode)))</f>
        <v>2.4402697830005105</v>
      </c>
    </row>
    <row r="16" spans="1:3" x14ac:dyDescent="0.2">
      <c r="A16" s="73"/>
      <c r="B16" s="84"/>
    </row>
    <row r="17" spans="1:6" x14ac:dyDescent="0.2">
      <c r="A17" s="58" t="s">
        <v>143</v>
      </c>
    </row>
    <row r="18" spans="1:6" x14ac:dyDescent="0.2">
      <c r="A18" s="95" t="s">
        <v>10</v>
      </c>
      <c r="B18" s="100" t="e">
        <f>B12*Forutsetninger!D23</f>
        <v>#VALUE!</v>
      </c>
    </row>
    <row r="19" spans="1:6" x14ac:dyDescent="0.2">
      <c r="A19" s="96" t="s">
        <v>112</v>
      </c>
      <c r="B19" s="101">
        <v>0</v>
      </c>
    </row>
    <row r="20" spans="1:6" x14ac:dyDescent="0.2">
      <c r="A20" s="96" t="s">
        <v>14</v>
      </c>
      <c r="B20" s="101">
        <v>0</v>
      </c>
    </row>
    <row r="21" spans="1:6" x14ac:dyDescent="0.2">
      <c r="A21" s="96" t="s">
        <v>47</v>
      </c>
      <c r="B21" s="101" t="e">
        <f>SUM(B20,B19,B18)</f>
        <v>#VALUE!</v>
      </c>
    </row>
    <row r="22" spans="1:6" x14ac:dyDescent="0.2">
      <c r="A22" s="96" t="s">
        <v>171</v>
      </c>
      <c r="B22" s="101" t="e">
        <f>B18*Afaktor_vekst</f>
        <v>#VALUE!</v>
      </c>
    </row>
    <row r="23" spans="1:6" x14ac:dyDescent="0.2">
      <c r="A23" s="96" t="s">
        <v>172</v>
      </c>
      <c r="B23" s="101">
        <f>B19*Afaktor_vekst</f>
        <v>0</v>
      </c>
    </row>
    <row r="24" spans="1:6" x14ac:dyDescent="0.2">
      <c r="A24" s="96" t="s">
        <v>173</v>
      </c>
      <c r="B24" s="101">
        <f>B20*Afaktor_vekst</f>
        <v>0</v>
      </c>
    </row>
    <row r="25" spans="1:6" x14ac:dyDescent="0.2">
      <c r="A25" s="96" t="s">
        <v>254</v>
      </c>
      <c r="B25" s="101" t="e">
        <f>B21*Afaktor_vekst</f>
        <v>#VALUE!</v>
      </c>
    </row>
    <row r="26" spans="1:6" x14ac:dyDescent="0.2">
      <c r="B26" s="87"/>
    </row>
    <row r="27" spans="1:6" x14ac:dyDescent="0.2">
      <c r="A27" s="88" t="s">
        <v>144</v>
      </c>
      <c r="B27" s="60"/>
    </row>
    <row r="28" spans="1:6" x14ac:dyDescent="0.2">
      <c r="A28" s="95" t="s">
        <v>142</v>
      </c>
      <c r="B28" s="101" t="e">
        <f>-B8*$B$15+B48</f>
        <v>#VALUE!</v>
      </c>
      <c r="C28" s="144" t="s">
        <v>246</v>
      </c>
    </row>
    <row r="29" spans="1:6" x14ac:dyDescent="0.2">
      <c r="A29" s="96" t="s">
        <v>141</v>
      </c>
      <c r="B29" s="101" t="e">
        <f>-B9*Afaktor+B49</f>
        <v>#VALUE!</v>
      </c>
      <c r="C29" s="144" t="s">
        <v>246</v>
      </c>
    </row>
    <row r="30" spans="1:6" x14ac:dyDescent="0.2">
      <c r="A30" s="95" t="s">
        <v>214</v>
      </c>
      <c r="B30" s="101" t="e">
        <f>B28+B29</f>
        <v>#VALUE!</v>
      </c>
      <c r="E30" s="75"/>
      <c r="F30" s="75"/>
    </row>
    <row r="31" spans="1:6" x14ac:dyDescent="0.2">
      <c r="A31" s="96" t="s">
        <v>174</v>
      </c>
      <c r="B31" s="101" t="e">
        <f>(1-B10)*B30*Skyggepris+B51</f>
        <v>#VALUE!</v>
      </c>
      <c r="C31" s="144" t="s">
        <v>246</v>
      </c>
      <c r="E31" s="75"/>
      <c r="F31" s="75"/>
    </row>
    <row r="32" spans="1:6" x14ac:dyDescent="0.2">
      <c r="A32" s="90"/>
      <c r="B32" s="91"/>
      <c r="C32" s="90"/>
    </row>
    <row r="33" spans="1:11" x14ac:dyDescent="0.2">
      <c r="A33" s="58" t="s">
        <v>7</v>
      </c>
      <c r="D33" s="75"/>
      <c r="E33" s="75"/>
      <c r="F33" s="75"/>
    </row>
    <row r="34" spans="1:11" x14ac:dyDescent="0.2">
      <c r="A34" s="96" t="s">
        <v>8</v>
      </c>
      <c r="B34" s="103" t="e">
        <f>B25+B30+B31</f>
        <v>#VALUE!</v>
      </c>
      <c r="C34" s="60" t="s">
        <v>175</v>
      </c>
      <c r="D34" s="75"/>
      <c r="E34" s="75"/>
      <c r="F34" s="75"/>
    </row>
    <row r="36" spans="1:11" x14ac:dyDescent="0.2">
      <c r="A36" s="95" t="s">
        <v>178</v>
      </c>
      <c r="B36" s="104" t="e">
        <f>B34/-B30</f>
        <v>#VALUE!</v>
      </c>
      <c r="C36" s="60" t="s">
        <v>9</v>
      </c>
    </row>
    <row r="37" spans="1:11" x14ac:dyDescent="0.2">
      <c r="A37" s="75"/>
      <c r="B37" s="74"/>
      <c r="C37" s="75"/>
      <c r="D37" s="75"/>
      <c r="E37" s="75"/>
      <c r="F37" s="75"/>
      <c r="G37" s="75"/>
      <c r="H37" s="75"/>
      <c r="I37" s="75"/>
      <c r="J37" s="75"/>
      <c r="K37" s="75"/>
    </row>
    <row r="38" spans="1:11" x14ac:dyDescent="0.2">
      <c r="A38" s="75"/>
      <c r="B38" s="74"/>
      <c r="C38" s="75"/>
      <c r="D38" s="75"/>
      <c r="E38" s="75"/>
      <c r="F38" s="75"/>
      <c r="G38" s="75"/>
      <c r="H38" s="75"/>
      <c r="I38" s="75"/>
      <c r="J38" s="75"/>
      <c r="K38" s="75"/>
    </row>
    <row r="39" spans="1:11" x14ac:dyDescent="0.2">
      <c r="A39" s="75"/>
      <c r="B39" s="74"/>
      <c r="C39" s="75"/>
      <c r="D39" s="75"/>
      <c r="E39" s="75"/>
      <c r="F39" s="75"/>
      <c r="G39" s="75"/>
      <c r="H39" s="75"/>
      <c r="I39" s="75"/>
      <c r="J39" s="75"/>
      <c r="K39" s="75"/>
    </row>
    <row r="40" spans="1:11" x14ac:dyDescent="0.2">
      <c r="A40" s="75"/>
      <c r="B40" s="74"/>
      <c r="C40" s="75"/>
      <c r="D40" s="75"/>
      <c r="E40" s="75"/>
      <c r="F40" s="75"/>
      <c r="G40" s="75"/>
      <c r="H40" s="75"/>
      <c r="I40" s="75"/>
      <c r="J40" s="75"/>
      <c r="K40" s="75"/>
    </row>
    <row r="41" spans="1:11" x14ac:dyDescent="0.2">
      <c r="A41" s="58" t="s">
        <v>176</v>
      </c>
    </row>
    <row r="42" spans="1:11" x14ac:dyDescent="0.2">
      <c r="A42" s="95" t="s">
        <v>177</v>
      </c>
      <c r="B42" s="111">
        <v>0</v>
      </c>
    </row>
    <row r="43" spans="1:11" x14ac:dyDescent="0.2">
      <c r="A43" s="96" t="s">
        <v>77</v>
      </c>
      <c r="B43" s="77">
        <v>0</v>
      </c>
    </row>
    <row r="44" spans="1:11" x14ac:dyDescent="0.2">
      <c r="A44" s="95" t="s">
        <v>169</v>
      </c>
      <c r="B44" s="106">
        <v>0</v>
      </c>
    </row>
    <row r="45" spans="1:11" x14ac:dyDescent="0.2">
      <c r="A45" s="96" t="s">
        <v>37</v>
      </c>
      <c r="B45" s="80">
        <f>Forutsetninger!G37</f>
        <v>10</v>
      </c>
    </row>
    <row r="46" spans="1:11" hidden="1" x14ac:dyDescent="0.2">
      <c r="A46" s="130" t="s">
        <v>38</v>
      </c>
      <c r="B46" s="131">
        <f>INT(Analyseperiode/B45)+1</f>
        <v>5</v>
      </c>
    </row>
    <row r="47" spans="1:11" hidden="1" x14ac:dyDescent="0.2">
      <c r="A47" s="132" t="s">
        <v>164</v>
      </c>
      <c r="B47" s="133">
        <f>(1-((1+Drente)^(-B45*B46)))/(1-((1+Drente)^(-B45)))+((Analyseperiode-(B45*B46))/(B45*((1+Drente)^Analyseperiode)))</f>
        <v>2.4402697830005105</v>
      </c>
    </row>
    <row r="48" spans="1:11" x14ac:dyDescent="0.2">
      <c r="A48" s="123" t="s">
        <v>142</v>
      </c>
      <c r="B48" s="101">
        <f>-B42*B47</f>
        <v>0</v>
      </c>
      <c r="C48" s="60" t="s">
        <v>109</v>
      </c>
    </row>
    <row r="49" spans="1:3" x14ac:dyDescent="0.2">
      <c r="A49" s="134" t="s">
        <v>141</v>
      </c>
      <c r="B49" s="103">
        <f>-B43*Afaktor</f>
        <v>0</v>
      </c>
      <c r="C49" s="60" t="s">
        <v>109</v>
      </c>
    </row>
    <row r="50" spans="1:3" x14ac:dyDescent="0.2">
      <c r="A50" s="123" t="s">
        <v>170</v>
      </c>
      <c r="B50" s="101">
        <f>B48+B49</f>
        <v>0</v>
      </c>
      <c r="C50" s="60" t="s">
        <v>109</v>
      </c>
    </row>
    <row r="51" spans="1:3" x14ac:dyDescent="0.2">
      <c r="A51" s="95" t="s">
        <v>174</v>
      </c>
      <c r="B51" s="146">
        <f>(1-B10)*B50*Skyggepris</f>
        <v>0</v>
      </c>
      <c r="C51" s="60" t="s">
        <v>109</v>
      </c>
    </row>
  </sheetData>
  <sheetProtection algorithmName="SHA-512" hashValue="+WS9En/3sQjpp5h5sOsvo0PZEkfiMnP74XHAnS9gUTmdIzAgFbw7S2E3UO7Ule99uARt00f1lEiRl60PnvCNrQ==" saltValue="mA5587gwXXNj5MG6OfxTFw==" spinCount="100000" sheet="1" objects="1" scenarios="1" selectLockedCells="1"/>
  <phoneticPr fontId="2" type="noConversion"/>
  <pageMargins left="0.78740157499999996" right="0.78740157499999996" top="0.984251969" bottom="0.984251969" header="0.5" footer="0.5"/>
  <pageSetup paperSize="9" scale="92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9">
    <tabColor indexed="44"/>
    <pageSetUpPr fitToPage="1"/>
  </sheetPr>
  <dimension ref="A1:K51"/>
  <sheetViews>
    <sheetView workbookViewId="0">
      <selection activeCell="B8" sqref="B8"/>
    </sheetView>
  </sheetViews>
  <sheetFormatPr baseColWidth="10" defaultRowHeight="12.75" x14ac:dyDescent="0.2"/>
  <cols>
    <col min="1" max="1" width="46.5703125" style="60" customWidth="1"/>
    <col min="2" max="2" width="15.28515625" style="59" customWidth="1"/>
    <col min="3" max="16384" width="11.42578125" style="60"/>
  </cols>
  <sheetData>
    <row r="1" spans="1:3" ht="13.5" thickBot="1" x14ac:dyDescent="0.25">
      <c r="A1" s="139" t="s">
        <v>73</v>
      </c>
    </row>
    <row r="2" spans="1:3" x14ac:dyDescent="0.2">
      <c r="A2" s="61" t="s">
        <v>156</v>
      </c>
      <c r="B2" s="62"/>
      <c r="C2" s="63"/>
    </row>
    <row r="3" spans="1:3" x14ac:dyDescent="0.2">
      <c r="A3" s="65" t="s">
        <v>188</v>
      </c>
      <c r="B3" s="66">
        <f>Analyseperiode</f>
        <v>40</v>
      </c>
      <c r="C3" s="67" t="s">
        <v>104</v>
      </c>
    </row>
    <row r="4" spans="1:3" x14ac:dyDescent="0.2">
      <c r="A4" s="65" t="s">
        <v>189</v>
      </c>
      <c r="B4" s="68"/>
      <c r="C4" s="64"/>
    </row>
    <row r="5" spans="1:3" ht="13.5" thickBot="1" x14ac:dyDescent="0.25">
      <c r="A5" s="70" t="s">
        <v>215</v>
      </c>
      <c r="B5" s="71"/>
      <c r="C5" s="72"/>
    </row>
    <row r="7" spans="1:3" x14ac:dyDescent="0.2">
      <c r="A7" s="58" t="s">
        <v>13</v>
      </c>
    </row>
    <row r="8" spans="1:3" x14ac:dyDescent="0.2">
      <c r="A8" s="96" t="s">
        <v>36</v>
      </c>
      <c r="B8" s="77" t="s">
        <v>40</v>
      </c>
      <c r="C8" s="60" t="s">
        <v>270</v>
      </c>
    </row>
    <row r="9" spans="1:3" x14ac:dyDescent="0.2">
      <c r="A9" s="96" t="s">
        <v>77</v>
      </c>
      <c r="B9" s="77" t="s">
        <v>40</v>
      </c>
      <c r="C9" s="60" t="s">
        <v>271</v>
      </c>
    </row>
    <row r="10" spans="1:3" x14ac:dyDescent="0.2">
      <c r="A10" s="96" t="s">
        <v>96</v>
      </c>
      <c r="B10" s="79">
        <v>0</v>
      </c>
      <c r="C10" s="60" t="s">
        <v>51</v>
      </c>
    </row>
    <row r="11" spans="1:3" x14ac:dyDescent="0.2">
      <c r="A11" s="96" t="s">
        <v>37</v>
      </c>
      <c r="B11" s="145">
        <f>Forutsetninger!G18</f>
        <v>1</v>
      </c>
    </row>
    <row r="12" spans="1:3" x14ac:dyDescent="0.2">
      <c r="A12" s="96" t="s">
        <v>197</v>
      </c>
      <c r="B12" s="105" t="s">
        <v>40</v>
      </c>
      <c r="C12" s="60" t="s">
        <v>272</v>
      </c>
    </row>
    <row r="14" spans="1:3" hidden="1" x14ac:dyDescent="0.2">
      <c r="A14" s="81" t="s">
        <v>111</v>
      </c>
      <c r="B14" s="82">
        <f>INT(Analyseperiode/B11)+1</f>
        <v>41</v>
      </c>
    </row>
    <row r="15" spans="1:3" hidden="1" x14ac:dyDescent="0.2">
      <c r="A15" s="81" t="s">
        <v>140</v>
      </c>
      <c r="B15" s="83">
        <f>(1-((1+Drente)^(-B11*B14)))/(1-((1+Drente)^(-B11)))+((Analyseperiode-(B11*B14))/(B11*((1+Drente)^Analyseperiode)))</f>
        <v>20.584484838763487</v>
      </c>
    </row>
    <row r="16" spans="1:3" x14ac:dyDescent="0.2">
      <c r="A16" s="73"/>
      <c r="B16" s="84"/>
    </row>
    <row r="17" spans="1:6" x14ac:dyDescent="0.2">
      <c r="A17" s="58" t="s">
        <v>143</v>
      </c>
    </row>
    <row r="18" spans="1:6" x14ac:dyDescent="0.2">
      <c r="A18" s="95" t="s">
        <v>10</v>
      </c>
      <c r="B18" s="100" t="e">
        <f>B12*Forutsetninger!D22</f>
        <v>#VALUE!</v>
      </c>
    </row>
    <row r="19" spans="1:6" x14ac:dyDescent="0.2">
      <c r="A19" s="96" t="s">
        <v>112</v>
      </c>
      <c r="B19" s="101">
        <v>0</v>
      </c>
    </row>
    <row r="20" spans="1:6" x14ac:dyDescent="0.2">
      <c r="A20" s="96" t="s">
        <v>14</v>
      </c>
      <c r="B20" s="101">
        <v>0</v>
      </c>
    </row>
    <row r="21" spans="1:6" x14ac:dyDescent="0.2">
      <c r="A21" s="96" t="s">
        <v>47</v>
      </c>
      <c r="B21" s="101" t="e">
        <f>SUM(B20,B19,B18)</f>
        <v>#VALUE!</v>
      </c>
    </row>
    <row r="22" spans="1:6" x14ac:dyDescent="0.2">
      <c r="A22" s="96" t="s">
        <v>171</v>
      </c>
      <c r="B22" s="101" t="e">
        <f>B18*Afaktor_vekst</f>
        <v>#VALUE!</v>
      </c>
    </row>
    <row r="23" spans="1:6" x14ac:dyDescent="0.2">
      <c r="A23" s="96" t="s">
        <v>172</v>
      </c>
      <c r="B23" s="101">
        <f>B19*Afaktor_vekst</f>
        <v>0</v>
      </c>
    </row>
    <row r="24" spans="1:6" x14ac:dyDescent="0.2">
      <c r="A24" s="96" t="s">
        <v>173</v>
      </c>
      <c r="B24" s="101">
        <f>B20*Afaktor_vekst</f>
        <v>0</v>
      </c>
    </row>
    <row r="25" spans="1:6" x14ac:dyDescent="0.2">
      <c r="A25" s="96" t="s">
        <v>254</v>
      </c>
      <c r="B25" s="101" t="e">
        <f>B21*Afaktor_vekst</f>
        <v>#VALUE!</v>
      </c>
    </row>
    <row r="26" spans="1:6" x14ac:dyDescent="0.2">
      <c r="B26" s="87"/>
    </row>
    <row r="27" spans="1:6" x14ac:dyDescent="0.2">
      <c r="A27" s="88" t="s">
        <v>247</v>
      </c>
      <c r="B27" s="60"/>
    </row>
    <row r="28" spans="1:6" x14ac:dyDescent="0.2">
      <c r="A28" s="95" t="s">
        <v>142</v>
      </c>
      <c r="B28" s="101" t="e">
        <f>-B8*$B$15+B48</f>
        <v>#VALUE!</v>
      </c>
      <c r="C28" s="144" t="s">
        <v>246</v>
      </c>
    </row>
    <row r="29" spans="1:6" x14ac:dyDescent="0.2">
      <c r="A29" s="96" t="s">
        <v>141</v>
      </c>
      <c r="B29" s="101" t="e">
        <f>-B9*Afaktor+B49</f>
        <v>#VALUE!</v>
      </c>
      <c r="C29" s="144" t="s">
        <v>246</v>
      </c>
    </row>
    <row r="30" spans="1:6" x14ac:dyDescent="0.2">
      <c r="A30" s="95" t="s">
        <v>214</v>
      </c>
      <c r="B30" s="101" t="e">
        <f>B28+B29</f>
        <v>#VALUE!</v>
      </c>
      <c r="C30" s="144" t="s">
        <v>246</v>
      </c>
      <c r="E30" s="75"/>
      <c r="F30" s="75"/>
    </row>
    <row r="31" spans="1:6" x14ac:dyDescent="0.2">
      <c r="A31" s="96" t="s">
        <v>174</v>
      </c>
      <c r="B31" s="101" t="e">
        <f>(1-B10)*B30*Skyggepris+B51</f>
        <v>#VALUE!</v>
      </c>
      <c r="C31" s="144" t="s">
        <v>246</v>
      </c>
      <c r="E31" s="75"/>
      <c r="F31" s="75"/>
    </row>
    <row r="32" spans="1:6" x14ac:dyDescent="0.2">
      <c r="A32" s="90"/>
      <c r="B32" s="91"/>
      <c r="C32" s="90"/>
    </row>
    <row r="33" spans="1:11" x14ac:dyDescent="0.2">
      <c r="A33" s="58" t="s">
        <v>7</v>
      </c>
      <c r="D33" s="75"/>
      <c r="E33" s="75"/>
      <c r="F33" s="75"/>
    </row>
    <row r="34" spans="1:11" x14ac:dyDescent="0.2">
      <c r="A34" s="96" t="s">
        <v>8</v>
      </c>
      <c r="B34" s="103" t="e">
        <f>B25+B30+B31</f>
        <v>#VALUE!</v>
      </c>
      <c r="C34" s="60" t="s">
        <v>175</v>
      </c>
      <c r="D34" s="75"/>
      <c r="E34" s="75"/>
      <c r="F34" s="75"/>
    </row>
    <row r="36" spans="1:11" x14ac:dyDescent="0.2">
      <c r="A36" s="95" t="s">
        <v>178</v>
      </c>
      <c r="B36" s="104" t="e">
        <f>B34/-B30</f>
        <v>#VALUE!</v>
      </c>
      <c r="C36" s="60" t="s">
        <v>9</v>
      </c>
    </row>
    <row r="40" spans="1:11" x14ac:dyDescent="0.2">
      <c r="A40" s="75"/>
      <c r="B40" s="74"/>
      <c r="C40" s="75"/>
      <c r="D40" s="75"/>
      <c r="E40" s="75"/>
      <c r="F40" s="75"/>
      <c r="G40" s="75"/>
      <c r="H40" s="75"/>
      <c r="I40" s="75"/>
      <c r="J40" s="75"/>
      <c r="K40" s="75"/>
    </row>
    <row r="41" spans="1:11" x14ac:dyDescent="0.2">
      <c r="A41" s="88" t="s">
        <v>176</v>
      </c>
      <c r="B41" s="74"/>
      <c r="C41" s="75"/>
      <c r="D41" s="75"/>
      <c r="E41" s="75"/>
      <c r="F41" s="75"/>
      <c r="G41" s="75"/>
      <c r="H41" s="75"/>
      <c r="I41" s="75"/>
      <c r="J41" s="75"/>
      <c r="K41" s="75"/>
    </row>
    <row r="42" spans="1:11" x14ac:dyDescent="0.2">
      <c r="A42" s="95" t="s">
        <v>177</v>
      </c>
      <c r="B42" s="111">
        <v>0</v>
      </c>
    </row>
    <row r="43" spans="1:11" x14ac:dyDescent="0.2">
      <c r="A43" s="96" t="s">
        <v>77</v>
      </c>
      <c r="B43" s="77">
        <v>0</v>
      </c>
    </row>
    <row r="44" spans="1:11" x14ac:dyDescent="0.2">
      <c r="A44" s="95" t="s">
        <v>169</v>
      </c>
      <c r="B44" s="106">
        <v>0</v>
      </c>
    </row>
    <row r="45" spans="1:11" x14ac:dyDescent="0.2">
      <c r="A45" s="96" t="s">
        <v>37</v>
      </c>
      <c r="B45" s="80">
        <f>Forutsetninger!G37</f>
        <v>10</v>
      </c>
    </row>
    <row r="46" spans="1:11" hidden="1" x14ac:dyDescent="0.2">
      <c r="A46" s="130" t="s">
        <v>38</v>
      </c>
      <c r="B46" s="131">
        <f>INT(Analyseperiode/B45)+1</f>
        <v>5</v>
      </c>
    </row>
    <row r="47" spans="1:11" hidden="1" x14ac:dyDescent="0.2">
      <c r="A47" s="132" t="s">
        <v>164</v>
      </c>
      <c r="B47" s="133">
        <f>(1-((1+Drente)^(-B45*B46)))/(1-((1+Drente)^(-B45)))+((Analyseperiode-(B45*B46))/(B45*((1+Drente)^Analyseperiode)))</f>
        <v>2.4402697830005105</v>
      </c>
    </row>
    <row r="48" spans="1:11" x14ac:dyDescent="0.2">
      <c r="A48" s="123" t="s">
        <v>142</v>
      </c>
      <c r="B48" s="101">
        <f>-B42*B47</f>
        <v>0</v>
      </c>
      <c r="C48" s="60" t="s">
        <v>109</v>
      </c>
    </row>
    <row r="49" spans="1:3" x14ac:dyDescent="0.2">
      <c r="A49" s="134" t="s">
        <v>141</v>
      </c>
      <c r="B49" s="103">
        <f>-B43*Afaktor</f>
        <v>0</v>
      </c>
      <c r="C49" s="60" t="s">
        <v>109</v>
      </c>
    </row>
    <row r="50" spans="1:3" x14ac:dyDescent="0.2">
      <c r="A50" s="123" t="s">
        <v>170</v>
      </c>
      <c r="B50" s="101">
        <f>B48+B49</f>
        <v>0</v>
      </c>
      <c r="C50" s="60" t="s">
        <v>109</v>
      </c>
    </row>
    <row r="51" spans="1:3" x14ac:dyDescent="0.2">
      <c r="A51" s="95" t="s">
        <v>174</v>
      </c>
      <c r="B51" s="146">
        <f>(1-B10)*B50*Skyggepris</f>
        <v>0</v>
      </c>
      <c r="C51" s="60" t="s">
        <v>109</v>
      </c>
    </row>
  </sheetData>
  <sheetProtection algorithmName="SHA-512" hashValue="mhcbMHXfgj+Ao/2K8ddoNgO/YqYrP66qwRdpebZCT6h1PvEuGgzYBhOyWURIXxPbRUwSoM+TrNzXKYuS2TnFPA==" saltValue="a+KsRmpxUUo6vCy3HhUPcQ==" spinCount="100000" sheet="1" objects="1" scenarios="1" selectLockedCells="1"/>
  <phoneticPr fontId="2" type="noConversion"/>
  <pageMargins left="0.78740157499999996" right="0.78740157499999996" top="0.984251969" bottom="0.984251969" header="0.5" footer="0.5"/>
  <pageSetup paperSize="9" scale="92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0">
    <tabColor indexed="44"/>
    <pageSetUpPr fitToPage="1"/>
  </sheetPr>
  <dimension ref="A1:F51"/>
  <sheetViews>
    <sheetView workbookViewId="0">
      <selection activeCell="B8" sqref="B8"/>
    </sheetView>
  </sheetViews>
  <sheetFormatPr baseColWidth="10" defaultRowHeight="12.75" x14ac:dyDescent="0.2"/>
  <cols>
    <col min="1" max="1" width="46.5703125" style="60" customWidth="1"/>
    <col min="2" max="2" width="15.28515625" style="59" customWidth="1"/>
    <col min="3" max="16384" width="11.42578125" style="60"/>
  </cols>
  <sheetData>
    <row r="1" spans="1:3" ht="13.5" thickBot="1" x14ac:dyDescent="0.25">
      <c r="A1" s="139" t="s">
        <v>16</v>
      </c>
    </row>
    <row r="2" spans="1:3" x14ac:dyDescent="0.2">
      <c r="A2" s="61" t="s">
        <v>156</v>
      </c>
      <c r="B2" s="62"/>
      <c r="C2" s="63"/>
    </row>
    <row r="3" spans="1:3" x14ac:dyDescent="0.2">
      <c r="A3" s="65" t="s">
        <v>188</v>
      </c>
      <c r="B3" s="66">
        <f>Analyseperiode</f>
        <v>40</v>
      </c>
      <c r="C3" s="67" t="s">
        <v>104</v>
      </c>
    </row>
    <row r="4" spans="1:3" x14ac:dyDescent="0.2">
      <c r="A4" s="65" t="s">
        <v>189</v>
      </c>
      <c r="B4" s="68"/>
      <c r="C4" s="64"/>
    </row>
    <row r="5" spans="1:3" ht="13.5" thickBot="1" x14ac:dyDescent="0.25">
      <c r="A5" s="70" t="s">
        <v>215</v>
      </c>
      <c r="B5" s="71"/>
      <c r="C5" s="72"/>
    </row>
    <row r="7" spans="1:3" x14ac:dyDescent="0.2">
      <c r="A7" s="58" t="s">
        <v>13</v>
      </c>
    </row>
    <row r="8" spans="1:3" x14ac:dyDescent="0.2">
      <c r="A8" s="95" t="s">
        <v>216</v>
      </c>
      <c r="B8" s="77" t="s">
        <v>40</v>
      </c>
      <c r="C8" s="142" t="s">
        <v>273</v>
      </c>
    </row>
    <row r="9" spans="1:3" x14ac:dyDescent="0.2">
      <c r="A9" s="95" t="s">
        <v>217</v>
      </c>
      <c r="B9" s="77" t="s">
        <v>40</v>
      </c>
      <c r="C9" s="142" t="s">
        <v>274</v>
      </c>
    </row>
    <row r="10" spans="1:3" x14ac:dyDescent="0.2">
      <c r="A10" s="96" t="s">
        <v>96</v>
      </c>
      <c r="B10" s="79">
        <v>0</v>
      </c>
    </row>
    <row r="11" spans="1:3" x14ac:dyDescent="0.2">
      <c r="A11" s="96" t="s">
        <v>37</v>
      </c>
      <c r="B11" s="143">
        <f>Forutsetninger!G19</f>
        <v>0.5</v>
      </c>
    </row>
    <row r="12" spans="1:3" x14ac:dyDescent="0.2">
      <c r="A12" s="95" t="s">
        <v>197</v>
      </c>
      <c r="B12" s="105" t="s">
        <v>40</v>
      </c>
    </row>
    <row r="14" spans="1:3" hidden="1" x14ac:dyDescent="0.2">
      <c r="A14" s="81" t="s">
        <v>111</v>
      </c>
      <c r="B14" s="82">
        <f>INT(Analyseperiode/B11)+1</f>
        <v>81</v>
      </c>
    </row>
    <row r="15" spans="1:3" hidden="1" x14ac:dyDescent="0.2">
      <c r="A15" s="81" t="s">
        <v>140</v>
      </c>
      <c r="B15" s="83">
        <f>(1-((1+Drente)^(-B11*B14)))/(1-((1+Drente)^(-B11)))+((Analyseperiode-(B11*B14))/(B11*((1+Drente)^Analyseperiode)))</f>
        <v>40.76923289070767</v>
      </c>
    </row>
    <row r="16" spans="1:3" x14ac:dyDescent="0.2">
      <c r="A16" s="73"/>
      <c r="B16" s="84"/>
    </row>
    <row r="17" spans="1:6" x14ac:dyDescent="0.2">
      <c r="A17" s="58" t="s">
        <v>143</v>
      </c>
    </row>
    <row r="18" spans="1:6" x14ac:dyDescent="0.2">
      <c r="A18" s="95" t="s">
        <v>10</v>
      </c>
      <c r="B18" s="101" t="e">
        <f>B12*Forutsetninger!D15</f>
        <v>#VALUE!</v>
      </c>
    </row>
    <row r="19" spans="1:6" x14ac:dyDescent="0.2">
      <c r="A19" s="96" t="s">
        <v>112</v>
      </c>
      <c r="B19" s="101">
        <v>0</v>
      </c>
    </row>
    <row r="20" spans="1:6" x14ac:dyDescent="0.2">
      <c r="A20" s="96" t="s">
        <v>14</v>
      </c>
      <c r="B20" s="101">
        <v>0</v>
      </c>
    </row>
    <row r="21" spans="1:6" x14ac:dyDescent="0.2">
      <c r="A21" s="96" t="s">
        <v>47</v>
      </c>
      <c r="B21" s="101" t="e">
        <f>SUM(B18:B20)</f>
        <v>#VALUE!</v>
      </c>
    </row>
    <row r="22" spans="1:6" x14ac:dyDescent="0.2">
      <c r="A22" s="96" t="s">
        <v>171</v>
      </c>
      <c r="B22" s="101" t="e">
        <f>B18*Afaktor_vekst</f>
        <v>#VALUE!</v>
      </c>
    </row>
    <row r="23" spans="1:6" x14ac:dyDescent="0.2">
      <c r="A23" s="96" t="s">
        <v>172</v>
      </c>
      <c r="B23" s="101">
        <f>B19*Afaktor_vekst</f>
        <v>0</v>
      </c>
    </row>
    <row r="24" spans="1:6" x14ac:dyDescent="0.2">
      <c r="A24" s="96" t="s">
        <v>173</v>
      </c>
      <c r="B24" s="101">
        <f>B20*Afaktor_vekst</f>
        <v>0</v>
      </c>
    </row>
    <row r="25" spans="1:6" x14ac:dyDescent="0.2">
      <c r="A25" s="96" t="s">
        <v>254</v>
      </c>
      <c r="B25" s="101" t="e">
        <f>B21*Afaktor_vekst</f>
        <v>#VALUE!</v>
      </c>
    </row>
    <row r="26" spans="1:6" x14ac:dyDescent="0.2">
      <c r="B26" s="87"/>
    </row>
    <row r="27" spans="1:6" x14ac:dyDescent="0.2">
      <c r="A27" s="88" t="s">
        <v>144</v>
      </c>
      <c r="B27" s="60"/>
    </row>
    <row r="28" spans="1:6" x14ac:dyDescent="0.2">
      <c r="A28" s="95" t="s">
        <v>142</v>
      </c>
      <c r="B28" s="101" t="e">
        <f>-B8*$B$15+B48</f>
        <v>#VALUE!</v>
      </c>
      <c r="C28" s="144" t="s">
        <v>246</v>
      </c>
    </row>
    <row r="29" spans="1:6" x14ac:dyDescent="0.2">
      <c r="A29" s="96" t="s">
        <v>141</v>
      </c>
      <c r="B29" s="101" t="e">
        <f>-B9*Afaktor+B49</f>
        <v>#VALUE!</v>
      </c>
      <c r="C29" s="144" t="s">
        <v>246</v>
      </c>
    </row>
    <row r="30" spans="1:6" x14ac:dyDescent="0.2">
      <c r="A30" s="95" t="s">
        <v>214</v>
      </c>
      <c r="B30" s="101" t="e">
        <f>B28+B29</f>
        <v>#VALUE!</v>
      </c>
      <c r="C30" s="144" t="s">
        <v>246</v>
      </c>
      <c r="E30" s="75"/>
      <c r="F30" s="75"/>
    </row>
    <row r="31" spans="1:6" x14ac:dyDescent="0.2">
      <c r="A31" s="96" t="s">
        <v>174</v>
      </c>
      <c r="B31" s="101" t="e">
        <f>(1-B10)*B30*Skyggepris+B51</f>
        <v>#VALUE!</v>
      </c>
      <c r="C31" s="144" t="s">
        <v>246</v>
      </c>
      <c r="E31" s="75"/>
      <c r="F31" s="75"/>
    </row>
    <row r="32" spans="1:6" x14ac:dyDescent="0.2">
      <c r="A32" s="90"/>
      <c r="B32" s="91"/>
      <c r="C32" s="90"/>
    </row>
    <row r="33" spans="1:6" x14ac:dyDescent="0.2">
      <c r="A33" s="58" t="s">
        <v>7</v>
      </c>
      <c r="D33" s="75"/>
      <c r="E33" s="75"/>
      <c r="F33" s="75"/>
    </row>
    <row r="34" spans="1:6" x14ac:dyDescent="0.2">
      <c r="A34" s="96" t="s">
        <v>8</v>
      </c>
      <c r="B34" s="103" t="e">
        <f>B25+B30+B31</f>
        <v>#VALUE!</v>
      </c>
      <c r="C34" s="60" t="s">
        <v>175</v>
      </c>
      <c r="D34" s="75"/>
      <c r="E34" s="75"/>
      <c r="F34" s="75"/>
    </row>
    <row r="36" spans="1:6" x14ac:dyDescent="0.2">
      <c r="A36" s="95" t="s">
        <v>178</v>
      </c>
      <c r="B36" s="104" t="e">
        <f>B34/-B30</f>
        <v>#VALUE!</v>
      </c>
      <c r="C36" s="60" t="s">
        <v>9</v>
      </c>
    </row>
    <row r="37" spans="1:6" x14ac:dyDescent="0.2">
      <c r="A37" s="75"/>
      <c r="B37" s="60"/>
    </row>
    <row r="38" spans="1:6" x14ac:dyDescent="0.2">
      <c r="A38" s="75"/>
      <c r="B38" s="60"/>
    </row>
    <row r="39" spans="1:6" x14ac:dyDescent="0.2">
      <c r="A39" s="75"/>
      <c r="B39" s="60"/>
    </row>
    <row r="40" spans="1:6" x14ac:dyDescent="0.2">
      <c r="A40" s="75"/>
      <c r="B40" s="60"/>
    </row>
    <row r="41" spans="1:6" x14ac:dyDescent="0.2">
      <c r="A41" s="58" t="s">
        <v>176</v>
      </c>
    </row>
    <row r="42" spans="1:6" x14ac:dyDescent="0.2">
      <c r="A42" s="95" t="s">
        <v>177</v>
      </c>
      <c r="B42" s="111">
        <v>0</v>
      </c>
    </row>
    <row r="43" spans="1:6" x14ac:dyDescent="0.2">
      <c r="A43" s="96" t="s">
        <v>77</v>
      </c>
      <c r="B43" s="77">
        <v>0</v>
      </c>
    </row>
    <row r="44" spans="1:6" x14ac:dyDescent="0.2">
      <c r="A44" s="95" t="s">
        <v>169</v>
      </c>
      <c r="B44" s="106">
        <v>0</v>
      </c>
    </row>
    <row r="45" spans="1:6" x14ac:dyDescent="0.2">
      <c r="A45" s="96" t="s">
        <v>37</v>
      </c>
      <c r="B45" s="80">
        <f>Forutsetninger!G37</f>
        <v>10</v>
      </c>
    </row>
    <row r="46" spans="1:6" hidden="1" x14ac:dyDescent="0.2">
      <c r="A46" s="130" t="s">
        <v>38</v>
      </c>
      <c r="B46" s="131">
        <f>INT(Analyseperiode/B45)+1</f>
        <v>5</v>
      </c>
    </row>
    <row r="47" spans="1:6" hidden="1" x14ac:dyDescent="0.2">
      <c r="A47" s="132" t="s">
        <v>164</v>
      </c>
      <c r="B47" s="133">
        <f>(1-((1+Drente)^(-B45*B46)))/(1-((1+Drente)^(-B45)))+((Analyseperiode-(B45*B46))/(B45*((1+Drente)^Analyseperiode)))</f>
        <v>2.4402697830005105</v>
      </c>
    </row>
    <row r="48" spans="1:6" x14ac:dyDescent="0.2">
      <c r="A48" s="123" t="s">
        <v>142</v>
      </c>
      <c r="B48" s="101">
        <f>-B42*B47</f>
        <v>0</v>
      </c>
      <c r="C48" s="60" t="s">
        <v>109</v>
      </c>
    </row>
    <row r="49" spans="1:3" x14ac:dyDescent="0.2">
      <c r="A49" s="134" t="s">
        <v>141</v>
      </c>
      <c r="B49" s="103">
        <f>-B43*Afaktor</f>
        <v>0</v>
      </c>
      <c r="C49" s="60" t="s">
        <v>109</v>
      </c>
    </row>
    <row r="50" spans="1:3" x14ac:dyDescent="0.2">
      <c r="A50" s="95" t="s">
        <v>214</v>
      </c>
      <c r="B50" s="101">
        <f>B48+B49</f>
        <v>0</v>
      </c>
      <c r="C50" s="60" t="s">
        <v>109</v>
      </c>
    </row>
    <row r="51" spans="1:3" x14ac:dyDescent="0.2">
      <c r="A51" s="95" t="s">
        <v>174</v>
      </c>
      <c r="B51" s="101">
        <f>(1-B10)*B50*Skyggepris</f>
        <v>0</v>
      </c>
      <c r="C51" s="60" t="s">
        <v>109</v>
      </c>
    </row>
  </sheetData>
  <sheetProtection algorithmName="SHA-512" hashValue="wqAbL058awLp3G3OgjK7OJ6kIGqJ1wZ08/X5AltF18aMyAEn8+NHByE4jMPCx0Gbm3QYCTjygv2HGUcSi7kZHg==" saltValue="DWLmcRJIvV/w/d3zQUJwDg==" spinCount="100000" sheet="1" objects="1" scenarios="1" selectLockedCells="1"/>
  <phoneticPr fontId="2" type="noConversion"/>
  <pageMargins left="0.78740157499999996" right="0.78740157499999996" top="0.984251969" bottom="0.984251969" header="0.5" footer="0.5"/>
  <pageSetup paperSize="9" scale="92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2">
    <tabColor indexed="43"/>
    <pageSetUpPr fitToPage="1"/>
  </sheetPr>
  <dimension ref="A1:C36"/>
  <sheetViews>
    <sheetView workbookViewId="0">
      <selection activeCell="B8" sqref="B8"/>
    </sheetView>
  </sheetViews>
  <sheetFormatPr baseColWidth="10" defaultRowHeight="12.75" x14ac:dyDescent="0.2"/>
  <cols>
    <col min="1" max="1" width="46.5703125" style="20" customWidth="1"/>
    <col min="2" max="2" width="15.28515625" style="19" customWidth="1"/>
    <col min="3" max="16384" width="11.42578125" style="20"/>
  </cols>
  <sheetData>
    <row r="1" spans="1:3" ht="13.5" thickBot="1" x14ac:dyDescent="0.25">
      <c r="A1" s="48" t="s">
        <v>114</v>
      </c>
    </row>
    <row r="2" spans="1:3" x14ac:dyDescent="0.2">
      <c r="A2" s="31" t="s">
        <v>156</v>
      </c>
      <c r="B2" s="32"/>
      <c r="C2" s="33"/>
    </row>
    <row r="3" spans="1:3" x14ac:dyDescent="0.2">
      <c r="A3" s="16" t="s">
        <v>188</v>
      </c>
      <c r="B3" s="35">
        <f>Analyseperiode</f>
        <v>40</v>
      </c>
      <c r="C3" s="36" t="s">
        <v>104</v>
      </c>
    </row>
    <row r="4" spans="1:3" x14ac:dyDescent="0.2">
      <c r="A4" s="16" t="s">
        <v>189</v>
      </c>
      <c r="B4" s="37"/>
      <c r="C4" s="34"/>
    </row>
    <row r="5" spans="1:3" ht="13.5" thickBot="1" x14ac:dyDescent="0.25">
      <c r="A5" s="38" t="s">
        <v>215</v>
      </c>
      <c r="B5" s="39"/>
      <c r="C5" s="40"/>
    </row>
    <row r="6" spans="1:3" x14ac:dyDescent="0.2">
      <c r="A6" s="22"/>
      <c r="B6" s="21"/>
      <c r="C6" s="23"/>
    </row>
    <row r="7" spans="1:3" x14ac:dyDescent="0.2">
      <c r="A7" s="18" t="s">
        <v>13</v>
      </c>
    </row>
    <row r="8" spans="1:3" x14ac:dyDescent="0.2">
      <c r="A8" s="42" t="s">
        <v>36</v>
      </c>
      <c r="B8" s="55" t="s">
        <v>40</v>
      </c>
      <c r="C8" s="20" t="s">
        <v>100</v>
      </c>
    </row>
    <row r="9" spans="1:3" x14ac:dyDescent="0.2">
      <c r="A9" s="42" t="s">
        <v>77</v>
      </c>
      <c r="B9" s="55" t="s">
        <v>40</v>
      </c>
      <c r="C9" s="20" t="s">
        <v>100</v>
      </c>
    </row>
    <row r="10" spans="1:3" x14ac:dyDescent="0.2">
      <c r="A10" s="42" t="s">
        <v>96</v>
      </c>
      <c r="B10" s="56">
        <v>0</v>
      </c>
      <c r="C10" s="20" t="s">
        <v>51</v>
      </c>
    </row>
    <row r="11" spans="1:3" x14ac:dyDescent="0.2">
      <c r="A11" s="42" t="s">
        <v>37</v>
      </c>
      <c r="B11" s="57">
        <f>Forutsetninger!G21</f>
        <v>7</v>
      </c>
    </row>
    <row r="12" spans="1:3" x14ac:dyDescent="0.2">
      <c r="A12" s="43" t="s">
        <v>6</v>
      </c>
      <c r="B12" s="55" t="s">
        <v>40</v>
      </c>
      <c r="C12" s="20" t="s">
        <v>276</v>
      </c>
    </row>
    <row r="14" spans="1:3" hidden="1" x14ac:dyDescent="0.2">
      <c r="A14" s="24" t="s">
        <v>111</v>
      </c>
      <c r="B14" s="25">
        <f>INT(Analyseperiode/B11)+1</f>
        <v>6</v>
      </c>
    </row>
    <row r="15" spans="1:3" hidden="1" x14ac:dyDescent="0.2">
      <c r="A15" s="24" t="s">
        <v>140</v>
      </c>
      <c r="B15" s="26">
        <f>(1-((1+Drente)^(-B11*B14)))/(1-((1+Drente)^(-B11)))+((Analyseperiode-(B11*B14))/(B11*((1+Drente)^Analyseperiode)))</f>
        <v>3.3036082845298567</v>
      </c>
    </row>
    <row r="16" spans="1:3" x14ac:dyDescent="0.2">
      <c r="A16" s="22"/>
      <c r="B16" s="27"/>
    </row>
    <row r="17" spans="1:3" x14ac:dyDescent="0.2">
      <c r="A17" s="18" t="s">
        <v>143</v>
      </c>
    </row>
    <row r="18" spans="1:3" x14ac:dyDescent="0.2">
      <c r="A18" s="43" t="s">
        <v>10</v>
      </c>
      <c r="B18" s="44" t="e">
        <f>B12*Forutsetninger!D25</f>
        <v>#VALUE!</v>
      </c>
    </row>
    <row r="19" spans="1:3" x14ac:dyDescent="0.2">
      <c r="A19" s="42" t="s">
        <v>112</v>
      </c>
      <c r="B19" s="45">
        <v>0</v>
      </c>
    </row>
    <row r="20" spans="1:3" x14ac:dyDescent="0.2">
      <c r="A20" s="42" t="s">
        <v>14</v>
      </c>
      <c r="B20" s="45">
        <v>0</v>
      </c>
    </row>
    <row r="21" spans="1:3" x14ac:dyDescent="0.2">
      <c r="A21" s="42" t="s">
        <v>47</v>
      </c>
      <c r="B21" s="45" t="e">
        <f>SUM(B20,B19,B18)</f>
        <v>#VALUE!</v>
      </c>
    </row>
    <row r="22" spans="1:3" x14ac:dyDescent="0.2">
      <c r="A22" s="42" t="s">
        <v>171</v>
      </c>
      <c r="B22" s="45" t="e">
        <f>B18*Afaktor_vekst</f>
        <v>#VALUE!</v>
      </c>
    </row>
    <row r="23" spans="1:3" x14ac:dyDescent="0.2">
      <c r="A23" s="42" t="s">
        <v>172</v>
      </c>
      <c r="B23" s="45">
        <f>B19*Afaktor_vekst</f>
        <v>0</v>
      </c>
    </row>
    <row r="24" spans="1:3" x14ac:dyDescent="0.2">
      <c r="A24" s="42" t="s">
        <v>173</v>
      </c>
      <c r="B24" s="45">
        <f>B20*Afaktor_vekst</f>
        <v>0</v>
      </c>
    </row>
    <row r="25" spans="1:3" x14ac:dyDescent="0.2">
      <c r="A25" s="42" t="s">
        <v>254</v>
      </c>
      <c r="B25" s="45" t="e">
        <f>B21*Afaktor_vekst</f>
        <v>#VALUE!</v>
      </c>
    </row>
    <row r="26" spans="1:3" x14ac:dyDescent="0.2">
      <c r="A26" s="23"/>
      <c r="B26" s="41"/>
    </row>
    <row r="27" spans="1:3" x14ac:dyDescent="0.2">
      <c r="A27" s="28" t="s">
        <v>144</v>
      </c>
      <c r="B27" s="20"/>
    </row>
    <row r="28" spans="1:3" x14ac:dyDescent="0.2">
      <c r="A28" s="43" t="s">
        <v>142</v>
      </c>
      <c r="B28" s="45" t="e">
        <f>-B8*$B$15</f>
        <v>#VALUE!</v>
      </c>
      <c r="C28" s="29"/>
    </row>
    <row r="29" spans="1:3" x14ac:dyDescent="0.2">
      <c r="A29" s="42" t="s">
        <v>141</v>
      </c>
      <c r="B29" s="45" t="e">
        <f>-B9*Afaktor</f>
        <v>#VALUE!</v>
      </c>
      <c r="C29" s="29"/>
    </row>
    <row r="30" spans="1:3" x14ac:dyDescent="0.2">
      <c r="A30" s="43" t="s">
        <v>214</v>
      </c>
      <c r="B30" s="45" t="e">
        <f>B28+B29</f>
        <v>#VALUE!</v>
      </c>
    </row>
    <row r="31" spans="1:3" x14ac:dyDescent="0.2">
      <c r="A31" s="42" t="s">
        <v>174</v>
      </c>
      <c r="B31" s="45" t="e">
        <f>(1-B10)*B30*Skyggepris</f>
        <v>#VALUE!</v>
      </c>
    </row>
    <row r="32" spans="1:3" x14ac:dyDescent="0.2">
      <c r="A32" s="30"/>
      <c r="B32" s="30"/>
      <c r="C32" s="30"/>
    </row>
    <row r="33" spans="1:3" x14ac:dyDescent="0.2">
      <c r="A33" s="18" t="s">
        <v>7</v>
      </c>
    </row>
    <row r="34" spans="1:3" x14ac:dyDescent="0.2">
      <c r="A34" s="42" t="s">
        <v>8</v>
      </c>
      <c r="B34" s="46" t="e">
        <f>B25+B30+B31</f>
        <v>#VALUE!</v>
      </c>
      <c r="C34" s="20" t="s">
        <v>175</v>
      </c>
    </row>
    <row r="36" spans="1:3" x14ac:dyDescent="0.2">
      <c r="A36" s="43" t="s">
        <v>178</v>
      </c>
      <c r="B36" s="47" t="e">
        <f>B34/-B30</f>
        <v>#VALUE!</v>
      </c>
      <c r="C36" s="20" t="s">
        <v>9</v>
      </c>
    </row>
  </sheetData>
  <sheetProtection algorithmName="SHA-512" hashValue="jE276eWMYC+InrTRqhK9eC6chxhsZOd0Z1g1s3FbSVVNxuO0/VzKVQ7Gc28wRgva21pUWw59/t1csAdmMhs/VQ==" saltValue="ZqXXM7AOnZleapjm5y0Ykg==" spinCount="100000" sheet="1" objects="1" scenarios="1" selectLockedCells="1"/>
  <protectedRanges>
    <protectedRange sqref="B8:B12" name="Område1_1"/>
  </protectedRanges>
  <phoneticPr fontId="2" type="noConversion"/>
  <pageMargins left="0.78740157499999996" right="0.78740157499999996" top="0.984251969" bottom="0.984251969" header="0.5" footer="0.5"/>
  <pageSetup paperSize="9" scale="92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5">
    <tabColor indexed="43"/>
    <pageSetUpPr fitToPage="1"/>
  </sheetPr>
  <dimension ref="A1:C25"/>
  <sheetViews>
    <sheetView workbookViewId="0">
      <selection activeCell="B9" sqref="B9"/>
    </sheetView>
  </sheetViews>
  <sheetFormatPr baseColWidth="10" defaultRowHeight="12.75" x14ac:dyDescent="0.2"/>
  <cols>
    <col min="1" max="1" width="46.5703125" style="60" customWidth="1"/>
    <col min="2" max="2" width="15.28515625" style="60" customWidth="1"/>
    <col min="3" max="16384" width="11.42578125" style="60"/>
  </cols>
  <sheetData>
    <row r="1" spans="1:3" ht="13.5" thickBot="1" x14ac:dyDescent="0.25">
      <c r="A1" s="58" t="s">
        <v>84</v>
      </c>
    </row>
    <row r="2" spans="1:3" x14ac:dyDescent="0.2">
      <c r="A2" s="61" t="s">
        <v>156</v>
      </c>
      <c r="B2" s="62"/>
      <c r="C2" s="63"/>
    </row>
    <row r="3" spans="1:3" x14ac:dyDescent="0.2">
      <c r="A3" s="65" t="s">
        <v>188</v>
      </c>
      <c r="B3" s="66">
        <f>Analyseperiode</f>
        <v>40</v>
      </c>
      <c r="C3" s="67" t="s">
        <v>104</v>
      </c>
    </row>
    <row r="4" spans="1:3" x14ac:dyDescent="0.2">
      <c r="A4" s="65" t="s">
        <v>189</v>
      </c>
      <c r="B4" s="68"/>
      <c r="C4" s="64"/>
    </row>
    <row r="5" spans="1:3" ht="13.5" thickBot="1" x14ac:dyDescent="0.25">
      <c r="A5" s="70" t="s">
        <v>215</v>
      </c>
      <c r="B5" s="71"/>
      <c r="C5" s="72"/>
    </row>
    <row r="6" spans="1:3" x14ac:dyDescent="0.2">
      <c r="A6" s="73"/>
      <c r="B6" s="74"/>
      <c r="C6" s="75"/>
    </row>
    <row r="7" spans="1:3" x14ac:dyDescent="0.2">
      <c r="A7" s="58" t="s">
        <v>13</v>
      </c>
      <c r="B7" s="59"/>
    </row>
    <row r="8" spans="1:3" x14ac:dyDescent="0.2">
      <c r="B8" s="141" t="s">
        <v>78</v>
      </c>
    </row>
    <row r="9" spans="1:3" x14ac:dyDescent="0.2">
      <c r="A9" s="95" t="s">
        <v>6</v>
      </c>
      <c r="B9" s="77" t="s">
        <v>40</v>
      </c>
      <c r="C9" s="60" t="s">
        <v>275</v>
      </c>
    </row>
    <row r="10" spans="1:3" x14ac:dyDescent="0.2">
      <c r="A10" s="73"/>
      <c r="B10" s="84"/>
    </row>
    <row r="11" spans="1:3" x14ac:dyDescent="0.2">
      <c r="A11" s="58" t="s">
        <v>143</v>
      </c>
      <c r="B11" s="59"/>
    </row>
    <row r="12" spans="1:3" x14ac:dyDescent="0.2">
      <c r="A12" s="95" t="s">
        <v>10</v>
      </c>
      <c r="B12" s="100" t="e">
        <f>B9*Forutsetninger!D29</f>
        <v>#VALUE!</v>
      </c>
    </row>
    <row r="13" spans="1:3" x14ac:dyDescent="0.2">
      <c r="A13" s="96" t="s">
        <v>112</v>
      </c>
      <c r="B13" s="101">
        <v>0</v>
      </c>
    </row>
    <row r="14" spans="1:3" x14ac:dyDescent="0.2">
      <c r="A14" s="96" t="s">
        <v>14</v>
      </c>
      <c r="B14" s="101">
        <v>0</v>
      </c>
    </row>
    <row r="15" spans="1:3" x14ac:dyDescent="0.2">
      <c r="A15" s="96" t="s">
        <v>47</v>
      </c>
      <c r="B15" s="101" t="e">
        <f>SUM(B14,B13,B12)</f>
        <v>#VALUE!</v>
      </c>
    </row>
    <row r="16" spans="1:3" x14ac:dyDescent="0.2">
      <c r="A16" s="96" t="s">
        <v>171</v>
      </c>
      <c r="B16" s="101" t="e">
        <f>B12*Afaktor_vekst</f>
        <v>#VALUE!</v>
      </c>
    </row>
    <row r="17" spans="1:3" x14ac:dyDescent="0.2">
      <c r="A17" s="96" t="s">
        <v>172</v>
      </c>
      <c r="B17" s="101">
        <f>B13*Afaktor_vekst</f>
        <v>0</v>
      </c>
    </row>
    <row r="18" spans="1:3" x14ac:dyDescent="0.2">
      <c r="A18" s="96" t="s">
        <v>173</v>
      </c>
      <c r="B18" s="101">
        <f>B14*Afaktor_vekst</f>
        <v>0</v>
      </c>
    </row>
    <row r="19" spans="1:3" x14ac:dyDescent="0.2">
      <c r="A19" s="96" t="s">
        <v>254</v>
      </c>
      <c r="B19" s="101" t="e">
        <f>B15*Afaktor_vekst</f>
        <v>#VALUE!</v>
      </c>
      <c r="C19" s="89"/>
    </row>
    <row r="20" spans="1:3" x14ac:dyDescent="0.2">
      <c r="A20" s="75"/>
      <c r="B20" s="97"/>
      <c r="C20" s="89"/>
    </row>
    <row r="21" spans="1:3" x14ac:dyDescent="0.2">
      <c r="A21" s="88"/>
      <c r="B21" s="75"/>
    </row>
    <row r="22" spans="1:3" x14ac:dyDescent="0.2">
      <c r="A22" s="58" t="s">
        <v>7</v>
      </c>
      <c r="B22" s="59"/>
    </row>
    <row r="23" spans="1:3" x14ac:dyDescent="0.2">
      <c r="A23" s="96" t="s">
        <v>8</v>
      </c>
      <c r="B23" s="103" t="e">
        <f>B19</f>
        <v>#VALUE!</v>
      </c>
      <c r="C23" s="60" t="s">
        <v>175</v>
      </c>
    </row>
    <row r="24" spans="1:3" x14ac:dyDescent="0.2">
      <c r="B24" s="59"/>
    </row>
    <row r="25" spans="1:3" x14ac:dyDescent="0.2">
      <c r="A25" s="75"/>
      <c r="B25" s="102"/>
      <c r="C25" s="75"/>
    </row>
  </sheetData>
  <sheetProtection algorithmName="SHA-512" hashValue="tO1WjkxVRO4nQqVZqh5kDG2wrcByr9HsfAbL4yW0wNZCWhhFnW9Y5tolk+dzJ9SEgXQl5b1chqvo4QGvpVfa3Q==" saltValue="02DLI4vZvpQpb/9JC/EqXA==" spinCount="100000" sheet="1" objects="1" scenarios="1" selectLockedCells="1"/>
  <protectedRanges>
    <protectedRange sqref="B9" name="Område1_1"/>
  </protectedRanges>
  <phoneticPr fontId="2" type="noConversion"/>
  <pageMargins left="0.78740157499999996" right="0.78740157499999996" top="0.984251969" bottom="0.984251969" header="0.5" footer="0.5"/>
  <pageSetup paperSize="9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C36"/>
  <sheetViews>
    <sheetView workbookViewId="0">
      <selection activeCell="B8" sqref="B8"/>
    </sheetView>
  </sheetViews>
  <sheetFormatPr baseColWidth="10" defaultRowHeight="12.75" x14ac:dyDescent="0.2"/>
  <cols>
    <col min="1" max="1" width="46.5703125" style="60" customWidth="1"/>
    <col min="2" max="2" width="15.28515625" style="59" customWidth="1"/>
    <col min="3" max="16384" width="11.42578125" style="60"/>
  </cols>
  <sheetData>
    <row r="1" spans="1:3" ht="13.5" thickBot="1" x14ac:dyDescent="0.25">
      <c r="A1" s="140" t="s">
        <v>252</v>
      </c>
    </row>
    <row r="2" spans="1:3" x14ac:dyDescent="0.2">
      <c r="A2" s="61" t="s">
        <v>156</v>
      </c>
      <c r="B2" s="62"/>
      <c r="C2" s="63"/>
    </row>
    <row r="3" spans="1:3" x14ac:dyDescent="0.2">
      <c r="A3" s="65" t="s">
        <v>188</v>
      </c>
      <c r="B3" s="66">
        <f>Analyseperiode</f>
        <v>40</v>
      </c>
      <c r="C3" s="67" t="s">
        <v>104</v>
      </c>
    </row>
    <row r="4" spans="1:3" x14ac:dyDescent="0.2">
      <c r="A4" s="65" t="s">
        <v>189</v>
      </c>
      <c r="B4" s="68"/>
      <c r="C4" s="64"/>
    </row>
    <row r="5" spans="1:3" ht="13.5" thickBot="1" x14ac:dyDescent="0.25">
      <c r="A5" s="70" t="s">
        <v>215</v>
      </c>
      <c r="B5" s="71"/>
      <c r="C5" s="72"/>
    </row>
    <row r="6" spans="1:3" x14ac:dyDescent="0.2">
      <c r="A6" s="73"/>
      <c r="B6" s="74"/>
      <c r="C6" s="75"/>
    </row>
    <row r="7" spans="1:3" x14ac:dyDescent="0.2">
      <c r="A7" s="58" t="s">
        <v>13</v>
      </c>
    </row>
    <row r="8" spans="1:3" x14ac:dyDescent="0.2">
      <c r="A8" s="96" t="s">
        <v>36</v>
      </c>
      <c r="B8" s="77" t="s">
        <v>40</v>
      </c>
      <c r="C8" s="60" t="s">
        <v>100</v>
      </c>
    </row>
    <row r="9" spans="1:3" x14ac:dyDescent="0.2">
      <c r="A9" s="96" t="s">
        <v>77</v>
      </c>
      <c r="B9" s="77" t="s">
        <v>40</v>
      </c>
      <c r="C9" s="60" t="s">
        <v>100</v>
      </c>
    </row>
    <row r="10" spans="1:3" x14ac:dyDescent="0.2">
      <c r="A10" s="96" t="s">
        <v>96</v>
      </c>
      <c r="B10" s="79">
        <v>0</v>
      </c>
      <c r="C10" s="60" t="s">
        <v>51</v>
      </c>
    </row>
    <row r="11" spans="1:3" x14ac:dyDescent="0.2">
      <c r="A11" s="96" t="s">
        <v>37</v>
      </c>
      <c r="B11" s="80">
        <f>Forutsetninger!G21</f>
        <v>7</v>
      </c>
    </row>
    <row r="12" spans="1:3" x14ac:dyDescent="0.2">
      <c r="A12" s="95" t="s">
        <v>6</v>
      </c>
      <c r="B12" s="77" t="s">
        <v>40</v>
      </c>
      <c r="C12" s="60" t="s">
        <v>277</v>
      </c>
    </row>
    <row r="14" spans="1:3" hidden="1" x14ac:dyDescent="0.2">
      <c r="A14" s="81" t="s">
        <v>111</v>
      </c>
      <c r="B14" s="82">
        <f>INT(Analyseperiode/B11)+1</f>
        <v>6</v>
      </c>
    </row>
    <row r="15" spans="1:3" hidden="1" x14ac:dyDescent="0.2">
      <c r="A15" s="81" t="s">
        <v>140</v>
      </c>
      <c r="B15" s="83">
        <f>(1-((1+Drente)^(-B11*B14)))/(1-((1+Drente)^(-B11)))+((Analyseperiode-(B11*B14))/(B11*((1+Drente)^Analyseperiode)))</f>
        <v>3.3036082845298567</v>
      </c>
    </row>
    <row r="16" spans="1:3" x14ac:dyDescent="0.2">
      <c r="A16" s="73"/>
      <c r="B16" s="84"/>
    </row>
    <row r="17" spans="1:3" x14ac:dyDescent="0.2">
      <c r="A17" s="58" t="s">
        <v>143</v>
      </c>
    </row>
    <row r="18" spans="1:3" x14ac:dyDescent="0.2">
      <c r="A18" s="95" t="s">
        <v>10</v>
      </c>
      <c r="B18" s="100" t="e">
        <f>B12*Forutsetninger!D37</f>
        <v>#VALUE!</v>
      </c>
    </row>
    <row r="19" spans="1:3" x14ac:dyDescent="0.2">
      <c r="A19" s="96" t="s">
        <v>112</v>
      </c>
      <c r="B19" s="101">
        <v>0</v>
      </c>
    </row>
    <row r="20" spans="1:3" x14ac:dyDescent="0.2">
      <c r="A20" s="96" t="s">
        <v>14</v>
      </c>
      <c r="B20" s="101">
        <v>0</v>
      </c>
    </row>
    <row r="21" spans="1:3" x14ac:dyDescent="0.2">
      <c r="A21" s="96" t="s">
        <v>47</v>
      </c>
      <c r="B21" s="101" t="e">
        <f>SUM(B20,B19,B18)</f>
        <v>#VALUE!</v>
      </c>
    </row>
    <row r="22" spans="1:3" x14ac:dyDescent="0.2">
      <c r="A22" s="96" t="s">
        <v>171</v>
      </c>
      <c r="B22" s="101" t="e">
        <f>B18*Afaktor_vekst</f>
        <v>#VALUE!</v>
      </c>
    </row>
    <row r="23" spans="1:3" x14ac:dyDescent="0.2">
      <c r="A23" s="96" t="s">
        <v>172</v>
      </c>
      <c r="B23" s="101">
        <f>B19*Afaktor_vekst</f>
        <v>0</v>
      </c>
    </row>
    <row r="24" spans="1:3" x14ac:dyDescent="0.2">
      <c r="A24" s="96" t="s">
        <v>173</v>
      </c>
      <c r="B24" s="101">
        <f>B20*Afaktor_vekst</f>
        <v>0</v>
      </c>
    </row>
    <row r="25" spans="1:3" x14ac:dyDescent="0.2">
      <c r="A25" s="95" t="s">
        <v>254</v>
      </c>
      <c r="B25" s="101" t="e">
        <f>B21*Afaktor_vekst</f>
        <v>#VALUE!</v>
      </c>
    </row>
    <row r="26" spans="1:3" x14ac:dyDescent="0.2">
      <c r="A26" s="75"/>
      <c r="B26" s="97"/>
    </row>
    <row r="27" spans="1:3" x14ac:dyDescent="0.2">
      <c r="A27" s="88" t="s">
        <v>144</v>
      </c>
      <c r="B27" s="60"/>
    </row>
    <row r="28" spans="1:3" x14ac:dyDescent="0.2">
      <c r="A28" s="95" t="s">
        <v>142</v>
      </c>
      <c r="B28" s="101" t="e">
        <f>-B8*$B$15</f>
        <v>#VALUE!</v>
      </c>
      <c r="C28" s="89"/>
    </row>
    <row r="29" spans="1:3" x14ac:dyDescent="0.2">
      <c r="A29" s="96" t="s">
        <v>141</v>
      </c>
      <c r="B29" s="101" t="e">
        <f>-B9*Afaktor</f>
        <v>#VALUE!</v>
      </c>
      <c r="C29" s="89"/>
    </row>
    <row r="30" spans="1:3" x14ac:dyDescent="0.2">
      <c r="A30" s="95" t="s">
        <v>214</v>
      </c>
      <c r="B30" s="101" t="e">
        <f>B28+B29</f>
        <v>#VALUE!</v>
      </c>
    </row>
    <row r="31" spans="1:3" x14ac:dyDescent="0.2">
      <c r="A31" s="96" t="s">
        <v>174</v>
      </c>
      <c r="B31" s="101" t="e">
        <f>(1-B10)*B30*Skyggepris</f>
        <v>#VALUE!</v>
      </c>
    </row>
    <row r="32" spans="1:3" x14ac:dyDescent="0.2">
      <c r="A32" s="90"/>
      <c r="B32" s="90"/>
      <c r="C32" s="90"/>
    </row>
    <row r="33" spans="1:3" x14ac:dyDescent="0.2">
      <c r="A33" s="58" t="s">
        <v>7</v>
      </c>
    </row>
    <row r="34" spans="1:3" x14ac:dyDescent="0.2">
      <c r="A34" s="96" t="s">
        <v>8</v>
      </c>
      <c r="B34" s="103" t="e">
        <f>B25+B30+B31</f>
        <v>#VALUE!</v>
      </c>
      <c r="C34" s="60" t="s">
        <v>175</v>
      </c>
    </row>
    <row r="36" spans="1:3" x14ac:dyDescent="0.2">
      <c r="A36" s="95" t="s">
        <v>178</v>
      </c>
      <c r="B36" s="104" t="e">
        <f>B34/-B30</f>
        <v>#VALUE!</v>
      </c>
      <c r="C36" s="60" t="s">
        <v>9</v>
      </c>
    </row>
  </sheetData>
  <sheetProtection algorithmName="SHA-512" hashValue="jvQzHIXOq9id1wlrI0OdR7PTmmUECCc08jL83K0IDSzs52YS8++VRIb7PBBzBZE3BNmdng1YlaL8QdP4qTBzkA==" saltValue="QhrjrMurKHd2frbvTWxaFw==" spinCount="100000" sheet="1" objects="1" scenarios="1" selectLockedCells="1"/>
  <protectedRanges>
    <protectedRange sqref="B8:B12" name="Område1_1"/>
  </protectedRanges>
  <pageMargins left="0.78740157499999996" right="0.78740157499999996" top="0.65" bottom="0.57999999999999996" header="0.5" footer="0.5"/>
  <pageSetup paperSize="9" scale="97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1">
    <tabColor indexed="43"/>
    <pageSetUpPr fitToPage="1"/>
  </sheetPr>
  <dimension ref="A1:C36"/>
  <sheetViews>
    <sheetView workbookViewId="0">
      <selection activeCell="B8" sqref="B8"/>
    </sheetView>
  </sheetViews>
  <sheetFormatPr baseColWidth="10" defaultRowHeight="12.75" x14ac:dyDescent="0.2"/>
  <cols>
    <col min="1" max="1" width="46.5703125" style="60" customWidth="1"/>
    <col min="2" max="2" width="15.28515625" style="59" customWidth="1"/>
    <col min="3" max="16384" width="11.42578125" style="60"/>
  </cols>
  <sheetData>
    <row r="1" spans="1:3" ht="13.5" thickBot="1" x14ac:dyDescent="0.25">
      <c r="A1" s="139" t="s">
        <v>115</v>
      </c>
    </row>
    <row r="2" spans="1:3" x14ac:dyDescent="0.2">
      <c r="A2" s="61" t="s">
        <v>156</v>
      </c>
      <c r="B2" s="62"/>
      <c r="C2" s="63"/>
    </row>
    <row r="3" spans="1:3" x14ac:dyDescent="0.2">
      <c r="A3" s="65" t="s">
        <v>188</v>
      </c>
      <c r="B3" s="66">
        <f>Analyseperiode</f>
        <v>40</v>
      </c>
      <c r="C3" s="67" t="s">
        <v>104</v>
      </c>
    </row>
    <row r="4" spans="1:3" x14ac:dyDescent="0.2">
      <c r="A4" s="65" t="s">
        <v>189</v>
      </c>
      <c r="B4" s="68"/>
      <c r="C4" s="64"/>
    </row>
    <row r="5" spans="1:3" ht="13.5" thickBot="1" x14ac:dyDescent="0.25">
      <c r="A5" s="70" t="s">
        <v>215</v>
      </c>
      <c r="B5" s="71"/>
      <c r="C5" s="72"/>
    </row>
    <row r="6" spans="1:3" x14ac:dyDescent="0.2">
      <c r="A6" s="73"/>
      <c r="B6" s="74"/>
      <c r="C6" s="75"/>
    </row>
    <row r="7" spans="1:3" x14ac:dyDescent="0.2">
      <c r="A7" s="58" t="s">
        <v>13</v>
      </c>
    </row>
    <row r="8" spans="1:3" x14ac:dyDescent="0.2">
      <c r="A8" s="96" t="s">
        <v>36</v>
      </c>
      <c r="B8" s="77" t="s">
        <v>40</v>
      </c>
      <c r="C8" s="60" t="s">
        <v>100</v>
      </c>
    </row>
    <row r="9" spans="1:3" x14ac:dyDescent="0.2">
      <c r="A9" s="96" t="s">
        <v>77</v>
      </c>
      <c r="B9" s="77" t="s">
        <v>40</v>
      </c>
      <c r="C9" s="60" t="s">
        <v>100</v>
      </c>
    </row>
    <row r="10" spans="1:3" x14ac:dyDescent="0.2">
      <c r="A10" s="96" t="s">
        <v>96</v>
      </c>
      <c r="B10" s="79">
        <v>0</v>
      </c>
      <c r="C10" s="60" t="s">
        <v>51</v>
      </c>
    </row>
    <row r="11" spans="1:3" x14ac:dyDescent="0.2">
      <c r="A11" s="96" t="s">
        <v>37</v>
      </c>
      <c r="B11" s="80">
        <f>Forutsetninger!G20</f>
        <v>10</v>
      </c>
    </row>
    <row r="12" spans="1:3" x14ac:dyDescent="0.2">
      <c r="A12" s="95" t="s">
        <v>279</v>
      </c>
      <c r="B12" s="77" t="s">
        <v>40</v>
      </c>
      <c r="C12" s="60" t="s">
        <v>278</v>
      </c>
    </row>
    <row r="14" spans="1:3" hidden="1" x14ac:dyDescent="0.2">
      <c r="A14" s="81" t="s">
        <v>111</v>
      </c>
      <c r="B14" s="82">
        <f>INT(Analyseperiode/B11)+1</f>
        <v>5</v>
      </c>
    </row>
    <row r="15" spans="1:3" hidden="1" x14ac:dyDescent="0.2">
      <c r="A15" s="81" t="s">
        <v>140</v>
      </c>
      <c r="B15" s="83">
        <f>(1-((1+Drente)^(-B11*B14)))/(1-((1+Drente)^(-B11)))+((Analyseperiode-(B11*B14))/(B11*((1+Drente)^Analyseperiode)))</f>
        <v>2.4402697830005105</v>
      </c>
    </row>
    <row r="16" spans="1:3" x14ac:dyDescent="0.2">
      <c r="A16" s="73"/>
      <c r="B16" s="84"/>
    </row>
    <row r="17" spans="1:3" x14ac:dyDescent="0.2">
      <c r="A17" s="58" t="s">
        <v>143</v>
      </c>
    </row>
    <row r="18" spans="1:3" x14ac:dyDescent="0.2">
      <c r="A18" s="95" t="s">
        <v>10</v>
      </c>
      <c r="B18" s="100" t="e">
        <f>B12*Forutsetninger!D26</f>
        <v>#VALUE!</v>
      </c>
    </row>
    <row r="19" spans="1:3" x14ac:dyDescent="0.2">
      <c r="A19" s="96" t="s">
        <v>112</v>
      </c>
      <c r="B19" s="101">
        <v>0</v>
      </c>
    </row>
    <row r="20" spans="1:3" x14ac:dyDescent="0.2">
      <c r="A20" s="96" t="s">
        <v>14</v>
      </c>
      <c r="B20" s="101">
        <v>0</v>
      </c>
    </row>
    <row r="21" spans="1:3" x14ac:dyDescent="0.2">
      <c r="A21" s="96" t="s">
        <v>47</v>
      </c>
      <c r="B21" s="101" t="e">
        <f>SUM(B20,B19,B18)</f>
        <v>#VALUE!</v>
      </c>
    </row>
    <row r="22" spans="1:3" x14ac:dyDescent="0.2">
      <c r="A22" s="96" t="s">
        <v>171</v>
      </c>
      <c r="B22" s="101" t="e">
        <f>B18*Afaktor_vekst</f>
        <v>#VALUE!</v>
      </c>
    </row>
    <row r="23" spans="1:3" x14ac:dyDescent="0.2">
      <c r="A23" s="96" t="s">
        <v>172</v>
      </c>
      <c r="B23" s="101">
        <f>B19*Afaktor_vekst</f>
        <v>0</v>
      </c>
    </row>
    <row r="24" spans="1:3" x14ac:dyDescent="0.2">
      <c r="A24" s="96" t="s">
        <v>173</v>
      </c>
      <c r="B24" s="101">
        <f>B20*Afaktor_vekst</f>
        <v>0</v>
      </c>
    </row>
    <row r="25" spans="1:3" x14ac:dyDescent="0.2">
      <c r="A25" s="95" t="s">
        <v>254</v>
      </c>
      <c r="B25" s="101" t="e">
        <f>B21*Afaktor_vekst</f>
        <v>#VALUE!</v>
      </c>
    </row>
    <row r="26" spans="1:3" x14ac:dyDescent="0.2">
      <c r="A26" s="75"/>
      <c r="B26" s="97"/>
    </row>
    <row r="27" spans="1:3" x14ac:dyDescent="0.2">
      <c r="A27" s="88" t="s">
        <v>144</v>
      </c>
      <c r="B27" s="60"/>
    </row>
    <row r="28" spans="1:3" x14ac:dyDescent="0.2">
      <c r="A28" s="95" t="s">
        <v>142</v>
      </c>
      <c r="B28" s="101" t="e">
        <f>-B8*$B$15</f>
        <v>#VALUE!</v>
      </c>
      <c r="C28" s="89"/>
    </row>
    <row r="29" spans="1:3" x14ac:dyDescent="0.2">
      <c r="A29" s="96" t="s">
        <v>141</v>
      </c>
      <c r="B29" s="101" t="e">
        <f>-B9*Afaktor</f>
        <v>#VALUE!</v>
      </c>
      <c r="C29" s="89"/>
    </row>
    <row r="30" spans="1:3" x14ac:dyDescent="0.2">
      <c r="A30" s="95" t="s">
        <v>214</v>
      </c>
      <c r="B30" s="101" t="e">
        <f>B28+B29</f>
        <v>#VALUE!</v>
      </c>
    </row>
    <row r="31" spans="1:3" x14ac:dyDescent="0.2">
      <c r="A31" s="96" t="s">
        <v>174</v>
      </c>
      <c r="B31" s="101" t="e">
        <f>(1-B10)*B30*Skyggepris</f>
        <v>#VALUE!</v>
      </c>
    </row>
    <row r="32" spans="1:3" x14ac:dyDescent="0.2">
      <c r="A32" s="90"/>
      <c r="B32" s="90"/>
      <c r="C32" s="90"/>
    </row>
    <row r="33" spans="1:3" x14ac:dyDescent="0.2">
      <c r="A33" s="58" t="s">
        <v>7</v>
      </c>
    </row>
    <row r="34" spans="1:3" x14ac:dyDescent="0.2">
      <c r="A34" s="96" t="s">
        <v>8</v>
      </c>
      <c r="B34" s="103" t="e">
        <f>B25+B30+B31</f>
        <v>#VALUE!</v>
      </c>
      <c r="C34" s="60" t="s">
        <v>175</v>
      </c>
    </row>
    <row r="36" spans="1:3" x14ac:dyDescent="0.2">
      <c r="A36" s="95" t="s">
        <v>178</v>
      </c>
      <c r="B36" s="104" t="e">
        <f>B34/-B30</f>
        <v>#VALUE!</v>
      </c>
      <c r="C36" s="60" t="s">
        <v>9</v>
      </c>
    </row>
  </sheetData>
  <sheetProtection algorithmName="SHA-512" hashValue="0Fz1G6fL5yYP3d7F6ydY+F3WiveECDat74SBH+7mWQ97HditJkVI7TNw4OzoSJ2zIpa5aLu4JeF96kXB2PgZyA==" saltValue="7/JDP1DuSxN+Q2j8xjuqQg==" spinCount="100000" sheet="1" objects="1" scenarios="1" selectLockedCells="1"/>
  <protectedRanges>
    <protectedRange sqref="B8:B12" name="Område1_1"/>
  </protectedRanges>
  <phoneticPr fontId="2" type="noConversion"/>
  <pageMargins left="0.78740157499999996" right="0.78740157499999996" top="0.984251969" bottom="0.984251969" header="0.5" footer="0.5"/>
  <pageSetup paperSize="9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3">
    <tabColor indexed="43"/>
    <pageSetUpPr fitToPage="1"/>
  </sheetPr>
  <dimension ref="A1:E36"/>
  <sheetViews>
    <sheetView workbookViewId="0">
      <selection activeCell="B8" sqref="B8"/>
    </sheetView>
  </sheetViews>
  <sheetFormatPr baseColWidth="10" defaultRowHeight="12.75" x14ac:dyDescent="0.2"/>
  <cols>
    <col min="1" max="1" width="46.5703125" style="60" customWidth="1"/>
    <col min="2" max="2" width="22.5703125" style="60" customWidth="1"/>
    <col min="3" max="3" width="20.5703125" style="60" customWidth="1"/>
    <col min="4" max="4" width="20.28515625" style="60" bestFit="1" customWidth="1"/>
    <col min="5" max="5" width="12.28515625" style="60" customWidth="1"/>
    <col min="6" max="6" width="11.42578125" style="60"/>
    <col min="7" max="7" width="11.5703125" style="60" bestFit="1" customWidth="1"/>
    <col min="8" max="16384" width="11.42578125" style="60"/>
  </cols>
  <sheetData>
    <row r="1" spans="1:4" ht="13.5" thickBot="1" x14ac:dyDescent="0.25">
      <c r="A1" s="58" t="s">
        <v>85</v>
      </c>
    </row>
    <row r="2" spans="1:4" x14ac:dyDescent="0.2">
      <c r="A2" s="61" t="s">
        <v>156</v>
      </c>
      <c r="B2" s="62"/>
      <c r="C2" s="63"/>
    </row>
    <row r="3" spans="1:4" x14ac:dyDescent="0.2">
      <c r="A3" s="65" t="s">
        <v>188</v>
      </c>
      <c r="B3" s="66">
        <f>Analyseperiode</f>
        <v>40</v>
      </c>
      <c r="C3" s="67" t="s">
        <v>104</v>
      </c>
      <c r="D3" s="117"/>
    </row>
    <row r="4" spans="1:4" x14ac:dyDescent="0.2">
      <c r="A4" s="65" t="s">
        <v>189</v>
      </c>
      <c r="B4" s="68"/>
      <c r="C4" s="64"/>
      <c r="D4" s="98"/>
    </row>
    <row r="5" spans="1:4" ht="13.5" thickBot="1" x14ac:dyDescent="0.25">
      <c r="A5" s="70" t="s">
        <v>215</v>
      </c>
      <c r="B5" s="71"/>
      <c r="C5" s="72"/>
      <c r="D5" s="98"/>
    </row>
    <row r="6" spans="1:4" x14ac:dyDescent="0.2">
      <c r="A6" s="73"/>
      <c r="B6" s="74"/>
      <c r="C6" s="75"/>
      <c r="D6" s="135"/>
    </row>
    <row r="7" spans="1:4" x14ac:dyDescent="0.2">
      <c r="A7" s="58" t="s">
        <v>13</v>
      </c>
      <c r="B7" s="120" t="s">
        <v>87</v>
      </c>
      <c r="C7" s="120" t="s">
        <v>86</v>
      </c>
      <c r="D7" s="120" t="s">
        <v>71</v>
      </c>
    </row>
    <row r="8" spans="1:4" x14ac:dyDescent="0.2">
      <c r="A8" s="96" t="s">
        <v>36</v>
      </c>
      <c r="B8" s="77" t="s">
        <v>99</v>
      </c>
      <c r="C8" s="77" t="s">
        <v>99</v>
      </c>
      <c r="D8" s="77" t="s">
        <v>99</v>
      </c>
    </row>
    <row r="9" spans="1:4" x14ac:dyDescent="0.2">
      <c r="A9" s="96" t="s">
        <v>77</v>
      </c>
      <c r="B9" s="77" t="s">
        <v>99</v>
      </c>
      <c r="C9" s="77" t="s">
        <v>99</v>
      </c>
      <c r="D9" s="77" t="s">
        <v>99</v>
      </c>
    </row>
    <row r="10" spans="1:4" x14ac:dyDescent="0.2">
      <c r="A10" s="96" t="s">
        <v>96</v>
      </c>
      <c r="B10" s="79">
        <v>0</v>
      </c>
      <c r="C10" s="79">
        <v>0</v>
      </c>
      <c r="D10" s="79">
        <v>0</v>
      </c>
    </row>
    <row r="11" spans="1:4" x14ac:dyDescent="0.2">
      <c r="A11" s="96" t="s">
        <v>37</v>
      </c>
      <c r="B11" s="80">
        <f>Forutsetninger!G23</f>
        <v>12</v>
      </c>
      <c r="C11" s="122">
        <f>Forutsetninger!G24</f>
        <v>7</v>
      </c>
      <c r="D11" s="122">
        <f>Forutsetninger!G25</f>
        <v>7</v>
      </c>
    </row>
    <row r="12" spans="1:4" x14ac:dyDescent="0.2">
      <c r="A12" s="95" t="s">
        <v>227</v>
      </c>
      <c r="B12" s="121" t="s">
        <v>40</v>
      </c>
      <c r="C12" s="136" t="s">
        <v>280</v>
      </c>
      <c r="D12" s="137"/>
    </row>
    <row r="13" spans="1:4" x14ac:dyDescent="0.2">
      <c r="D13" s="59"/>
    </row>
    <row r="14" spans="1:4" hidden="1" x14ac:dyDescent="0.2">
      <c r="A14" s="81" t="s">
        <v>111</v>
      </c>
      <c r="B14" s="82">
        <f>INT(Analyseperiode/B11)+1</f>
        <v>4</v>
      </c>
      <c r="C14" s="82">
        <f>INT(Analyseperiode/C11)+1</f>
        <v>6</v>
      </c>
      <c r="D14" s="82">
        <f>INT(Analyseperiode/D11)+1</f>
        <v>6</v>
      </c>
    </row>
    <row r="15" spans="1:4" hidden="1" x14ac:dyDescent="0.2">
      <c r="A15" s="81" t="s">
        <v>140</v>
      </c>
      <c r="B15" s="83">
        <f>(1-((1+Drente)^(-B11*B14)))/(1-((1+Drente)^(-B11)))+((Analyseperiode-(B11*B14))/(B11*((1+Drente)^Analyseperiode)))</f>
        <v>2.1195278826687241</v>
      </c>
      <c r="C15" s="83">
        <f>(1-((1+Drente)^(-C11*C14)))/(1-((1+Drente)^(-C11)))+((Analyseperiode-(C11*C14))/(C11*((1+Drente)^Analyseperiode)))</f>
        <v>3.3036082845298567</v>
      </c>
      <c r="D15" s="83">
        <f>(1-((1+Drente)^(-D11*D14)))/(1-((1+Drente)^(-D11)))+((Analyseperiode-(D11*D14))/(D11*((1+Drente)^Analyseperiode)))</f>
        <v>3.3036082845298567</v>
      </c>
    </row>
    <row r="16" spans="1:4" x14ac:dyDescent="0.2">
      <c r="A16" s="73"/>
      <c r="B16" s="84"/>
      <c r="D16" s="59"/>
    </row>
    <row r="17" spans="1:5" x14ac:dyDescent="0.2">
      <c r="A17" s="58" t="s">
        <v>143</v>
      </c>
      <c r="B17" s="59"/>
      <c r="D17" s="59"/>
    </row>
    <row r="18" spans="1:5" x14ac:dyDescent="0.2">
      <c r="A18" s="95" t="s">
        <v>10</v>
      </c>
      <c r="B18" s="100" t="e">
        <f>B12*Forutsetninger!D27</f>
        <v>#VALUE!</v>
      </c>
    </row>
    <row r="19" spans="1:5" x14ac:dyDescent="0.2">
      <c r="A19" s="96" t="s">
        <v>112</v>
      </c>
      <c r="B19" s="101">
        <v>0</v>
      </c>
    </row>
    <row r="20" spans="1:5" x14ac:dyDescent="0.2">
      <c r="A20" s="96" t="s">
        <v>14</v>
      </c>
      <c r="B20" s="101">
        <v>0</v>
      </c>
    </row>
    <row r="21" spans="1:5" x14ac:dyDescent="0.2">
      <c r="A21" s="96" t="s">
        <v>47</v>
      </c>
      <c r="B21" s="101" t="e">
        <f>SUM(B20,B19,B18)</f>
        <v>#VALUE!</v>
      </c>
    </row>
    <row r="22" spans="1:5" x14ac:dyDescent="0.2">
      <c r="A22" s="96" t="s">
        <v>171</v>
      </c>
      <c r="B22" s="101" t="e">
        <f>B18*Afaktor_vekst</f>
        <v>#VALUE!</v>
      </c>
    </row>
    <row r="23" spans="1:5" x14ac:dyDescent="0.2">
      <c r="A23" s="96" t="s">
        <v>172</v>
      </c>
      <c r="B23" s="101">
        <f>B19*Afaktor_vekst</f>
        <v>0</v>
      </c>
    </row>
    <row r="24" spans="1:5" x14ac:dyDescent="0.2">
      <c r="A24" s="96" t="s">
        <v>173</v>
      </c>
      <c r="B24" s="101">
        <f>B20*Afaktor_vekst</f>
        <v>0</v>
      </c>
    </row>
    <row r="25" spans="1:5" x14ac:dyDescent="0.2">
      <c r="A25" s="96" t="s">
        <v>254</v>
      </c>
      <c r="B25" s="101" t="e">
        <f>B21*Afaktor_vekst</f>
        <v>#VALUE!</v>
      </c>
    </row>
    <row r="26" spans="1:5" x14ac:dyDescent="0.2">
      <c r="A26" s="75"/>
      <c r="B26" s="97"/>
    </row>
    <row r="27" spans="1:5" x14ac:dyDescent="0.2">
      <c r="A27" s="88" t="s">
        <v>144</v>
      </c>
      <c r="B27" s="120" t="s">
        <v>87</v>
      </c>
      <c r="C27" s="120" t="s">
        <v>86</v>
      </c>
      <c r="D27" s="127" t="s">
        <v>71</v>
      </c>
      <c r="E27" s="127" t="s">
        <v>98</v>
      </c>
    </row>
    <row r="28" spans="1:5" x14ac:dyDescent="0.2">
      <c r="A28" s="95" t="s">
        <v>142</v>
      </c>
      <c r="B28" s="101" t="e">
        <f>-B8*$B$15</f>
        <v>#VALUE!</v>
      </c>
      <c r="C28" s="101" t="e">
        <f>-C8*$C$15</f>
        <v>#VALUE!</v>
      </c>
      <c r="D28" s="101" t="e">
        <f>-D8*$D$15</f>
        <v>#VALUE!</v>
      </c>
      <c r="E28" s="138" t="e">
        <f>SUM(B28:D28)</f>
        <v>#VALUE!</v>
      </c>
    </row>
    <row r="29" spans="1:5" x14ac:dyDescent="0.2">
      <c r="A29" s="96" t="s">
        <v>141</v>
      </c>
      <c r="B29" s="101" t="e">
        <f>-B9*Afaktor</f>
        <v>#VALUE!</v>
      </c>
      <c r="C29" s="101" t="e">
        <f>-C9*Afaktor</f>
        <v>#VALUE!</v>
      </c>
      <c r="D29" s="101" t="e">
        <f>-D9*Afaktor</f>
        <v>#VALUE!</v>
      </c>
      <c r="E29" s="138" t="e">
        <f>SUM(B29:D29)</f>
        <v>#VALUE!</v>
      </c>
    </row>
    <row r="30" spans="1:5" x14ac:dyDescent="0.2">
      <c r="A30" s="95" t="s">
        <v>214</v>
      </c>
      <c r="B30" s="101" t="e">
        <f>B28+B29</f>
        <v>#VALUE!</v>
      </c>
      <c r="C30" s="101" t="e">
        <f>C28+C29</f>
        <v>#VALUE!</v>
      </c>
      <c r="D30" s="101" t="e">
        <f>D28+D29</f>
        <v>#VALUE!</v>
      </c>
      <c r="E30" s="138" t="e">
        <f>SUM(B30:D30)</f>
        <v>#VALUE!</v>
      </c>
    </row>
    <row r="31" spans="1:5" x14ac:dyDescent="0.2">
      <c r="A31" s="96" t="s">
        <v>174</v>
      </c>
      <c r="B31" s="101" t="e">
        <f>(1-B10)*B30*Skyggepris</f>
        <v>#VALUE!</v>
      </c>
      <c r="C31" s="101" t="e">
        <f>(1-C10)*C30*Skyggepris</f>
        <v>#VALUE!</v>
      </c>
      <c r="D31" s="101" t="e">
        <f>(1-D10)*D30*Skyggepris</f>
        <v>#VALUE!</v>
      </c>
      <c r="E31" s="138" t="e">
        <f>SUM(B31:D31)</f>
        <v>#VALUE!</v>
      </c>
    </row>
    <row r="32" spans="1:5" x14ac:dyDescent="0.2">
      <c r="A32" s="90"/>
      <c r="B32" s="90"/>
      <c r="C32" s="90"/>
    </row>
    <row r="33" spans="1:3" x14ac:dyDescent="0.2">
      <c r="A33" s="58" t="s">
        <v>7</v>
      </c>
      <c r="B33" s="59"/>
    </row>
    <row r="34" spans="1:3" x14ac:dyDescent="0.2">
      <c r="A34" s="96" t="s">
        <v>8</v>
      </c>
      <c r="B34" s="103" t="e">
        <f>B25+E30+E31</f>
        <v>#VALUE!</v>
      </c>
      <c r="C34" s="60" t="s">
        <v>175</v>
      </c>
    </row>
    <row r="35" spans="1:3" x14ac:dyDescent="0.2">
      <c r="B35" s="59"/>
    </row>
    <row r="36" spans="1:3" x14ac:dyDescent="0.2">
      <c r="A36" s="95" t="s">
        <v>178</v>
      </c>
      <c r="B36" s="104" t="e">
        <f>B34/-E30</f>
        <v>#VALUE!</v>
      </c>
      <c r="C36" s="60" t="s">
        <v>9</v>
      </c>
    </row>
  </sheetData>
  <sheetProtection algorithmName="SHA-512" hashValue="Hm6zLjp+2pMftkFRsL3lAJfaaerGTAueGNRNyaSDzAMrkQ5NSONHe7q+QJ6D0bFJy0Qll9rWgSCucI7/swYFkQ==" saltValue="dY7qNxvpDcCi88Jq/9aePQ==" spinCount="100000" sheet="1" objects="1" scenarios="1" selectLockedCells="1"/>
  <protectedRanges>
    <protectedRange sqref="D4:D6" name="Område1"/>
    <protectedRange sqref="B8:D11" name="Område1_2"/>
  </protectedRanges>
  <phoneticPr fontId="2" type="noConversion"/>
  <conditionalFormatting sqref="B11">
    <cfRule type="cellIs" dxfId="1" priority="2" stopIfTrue="1" operator="equal">
      <formula>"Velg type tiltak i celle B4"</formula>
    </cfRule>
  </conditionalFormatting>
  <pageMargins left="0.78740157499999996" right="0.78740157499999996" top="0.984251969" bottom="0.984251969" header="0.5" footer="0.5"/>
  <pageSetup paperSize="9" scale="98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4">
    <tabColor indexed="43"/>
    <pageSetUpPr fitToPage="1"/>
  </sheetPr>
  <dimension ref="A1:C36"/>
  <sheetViews>
    <sheetView workbookViewId="0">
      <selection activeCell="B8" sqref="B8"/>
    </sheetView>
  </sheetViews>
  <sheetFormatPr baseColWidth="10" defaultRowHeight="12.75" x14ac:dyDescent="0.2"/>
  <cols>
    <col min="1" max="1" width="46.5703125" style="60" customWidth="1"/>
    <col min="2" max="2" width="15.28515625" style="60" customWidth="1"/>
    <col min="3" max="16384" width="11.42578125" style="60"/>
  </cols>
  <sheetData>
    <row r="1" spans="1:3" ht="13.5" thickBot="1" x14ac:dyDescent="0.25">
      <c r="A1" s="58" t="s">
        <v>41</v>
      </c>
    </row>
    <row r="2" spans="1:3" x14ac:dyDescent="0.2">
      <c r="A2" s="61" t="s">
        <v>156</v>
      </c>
      <c r="B2" s="62"/>
      <c r="C2" s="63"/>
    </row>
    <row r="3" spans="1:3" x14ac:dyDescent="0.2">
      <c r="A3" s="65" t="s">
        <v>188</v>
      </c>
      <c r="B3" s="66">
        <f>Analyseperiode</f>
        <v>40</v>
      </c>
      <c r="C3" s="67" t="s">
        <v>104</v>
      </c>
    </row>
    <row r="4" spans="1:3" x14ac:dyDescent="0.2">
      <c r="A4" s="65" t="s">
        <v>189</v>
      </c>
      <c r="B4" s="68"/>
      <c r="C4" s="64"/>
    </row>
    <row r="5" spans="1:3" ht="13.5" thickBot="1" x14ac:dyDescent="0.25">
      <c r="A5" s="70" t="s">
        <v>215</v>
      </c>
      <c r="B5" s="71"/>
      <c r="C5" s="72"/>
    </row>
    <row r="6" spans="1:3" x14ac:dyDescent="0.2">
      <c r="A6" s="73"/>
      <c r="B6" s="74"/>
      <c r="C6" s="75"/>
    </row>
    <row r="7" spans="1:3" x14ac:dyDescent="0.2">
      <c r="A7" s="58" t="s">
        <v>13</v>
      </c>
      <c r="B7" s="59"/>
    </row>
    <row r="8" spans="1:3" x14ac:dyDescent="0.2">
      <c r="A8" s="95" t="s">
        <v>216</v>
      </c>
      <c r="B8" s="77"/>
    </row>
    <row r="9" spans="1:3" x14ac:dyDescent="0.2">
      <c r="A9" s="95" t="s">
        <v>217</v>
      </c>
      <c r="B9" s="77" t="s">
        <v>40</v>
      </c>
    </row>
    <row r="10" spans="1:3" x14ac:dyDescent="0.2">
      <c r="A10" s="96" t="s">
        <v>96</v>
      </c>
      <c r="B10" s="79">
        <v>0</v>
      </c>
    </row>
    <row r="11" spans="1:3" x14ac:dyDescent="0.2">
      <c r="A11" s="96" t="s">
        <v>37</v>
      </c>
      <c r="B11" s="80">
        <f>Forutsetninger!G26</f>
        <v>20</v>
      </c>
    </row>
    <row r="12" spans="1:3" x14ac:dyDescent="0.2">
      <c r="A12" s="177" t="s">
        <v>197</v>
      </c>
      <c r="B12" s="77"/>
      <c r="C12" s="60" t="s">
        <v>281</v>
      </c>
    </row>
    <row r="13" spans="1:3" x14ac:dyDescent="0.2">
      <c r="B13" s="59"/>
    </row>
    <row r="14" spans="1:3" hidden="1" x14ac:dyDescent="0.2">
      <c r="A14" s="81" t="s">
        <v>111</v>
      </c>
      <c r="B14" s="82">
        <f>INT(Analyseperiode/B11)+1</f>
        <v>3</v>
      </c>
    </row>
    <row r="15" spans="1:3" hidden="1" x14ac:dyDescent="0.2">
      <c r="A15" s="81" t="s">
        <v>140</v>
      </c>
      <c r="B15" s="83">
        <f>(1-((1+Drente)^(-B11*B14)))/(1-((1+Drente)^(-B11)))+((Analyseperiode-(B11*B14))/(B11*((1+Drente)^Analyseperiode)))</f>
        <v>1.4563869462012919</v>
      </c>
    </row>
    <row r="16" spans="1:3" x14ac:dyDescent="0.2">
      <c r="A16" s="73"/>
      <c r="B16" s="84"/>
    </row>
    <row r="17" spans="1:3" x14ac:dyDescent="0.2">
      <c r="A17" s="58" t="s">
        <v>143</v>
      </c>
      <c r="B17" s="59"/>
    </row>
    <row r="18" spans="1:3" x14ac:dyDescent="0.2">
      <c r="A18" s="95" t="s">
        <v>10</v>
      </c>
      <c r="B18" s="100">
        <f>B12*Forutsetninger!D28</f>
        <v>0</v>
      </c>
    </row>
    <row r="19" spans="1:3" x14ac:dyDescent="0.2">
      <c r="A19" s="96" t="s">
        <v>112</v>
      </c>
      <c r="B19" s="101">
        <v>0</v>
      </c>
    </row>
    <row r="20" spans="1:3" x14ac:dyDescent="0.2">
      <c r="A20" s="96" t="s">
        <v>14</v>
      </c>
      <c r="B20" s="101">
        <v>0</v>
      </c>
    </row>
    <row r="21" spans="1:3" x14ac:dyDescent="0.2">
      <c r="A21" s="96" t="s">
        <v>47</v>
      </c>
      <c r="B21" s="101">
        <f>SUM(B20,B19,B18)</f>
        <v>0</v>
      </c>
    </row>
    <row r="22" spans="1:3" x14ac:dyDescent="0.2">
      <c r="A22" s="96" t="s">
        <v>171</v>
      </c>
      <c r="B22" s="101">
        <f>B18*Afaktor_vekst</f>
        <v>0</v>
      </c>
    </row>
    <row r="23" spans="1:3" x14ac:dyDescent="0.2">
      <c r="A23" s="96" t="s">
        <v>172</v>
      </c>
      <c r="B23" s="101">
        <f>B19*Afaktor_vekst</f>
        <v>0</v>
      </c>
    </row>
    <row r="24" spans="1:3" x14ac:dyDescent="0.2">
      <c r="A24" s="96" t="s">
        <v>173</v>
      </c>
      <c r="B24" s="101">
        <f>B20*Afaktor_vekst</f>
        <v>0</v>
      </c>
    </row>
    <row r="25" spans="1:3" x14ac:dyDescent="0.2">
      <c r="A25" s="96" t="s">
        <v>254</v>
      </c>
      <c r="B25" s="101">
        <f>B21*Afaktor_vekst</f>
        <v>0</v>
      </c>
    </row>
    <row r="26" spans="1:3" x14ac:dyDescent="0.2">
      <c r="A26" s="75"/>
      <c r="B26" s="97"/>
    </row>
    <row r="27" spans="1:3" x14ac:dyDescent="0.2">
      <c r="A27" s="88" t="s">
        <v>144</v>
      </c>
    </row>
    <row r="28" spans="1:3" x14ac:dyDescent="0.2">
      <c r="A28" s="95" t="s">
        <v>142</v>
      </c>
      <c r="B28" s="101">
        <f>-B8*$B$15</f>
        <v>0</v>
      </c>
      <c r="C28" s="89"/>
    </row>
    <row r="29" spans="1:3" x14ac:dyDescent="0.2">
      <c r="A29" s="96" t="s">
        <v>141</v>
      </c>
      <c r="B29" s="101" t="e">
        <f>-B9*Afaktor</f>
        <v>#VALUE!</v>
      </c>
      <c r="C29" s="89"/>
    </row>
    <row r="30" spans="1:3" x14ac:dyDescent="0.2">
      <c r="A30" s="95" t="s">
        <v>214</v>
      </c>
      <c r="B30" s="101" t="e">
        <f>B28+B29</f>
        <v>#VALUE!</v>
      </c>
    </row>
    <row r="31" spans="1:3" x14ac:dyDescent="0.2">
      <c r="A31" s="96" t="s">
        <v>174</v>
      </c>
      <c r="B31" s="101" t="e">
        <f>(1-B10)*B30*Skyggepris</f>
        <v>#VALUE!</v>
      </c>
    </row>
    <row r="32" spans="1:3" x14ac:dyDescent="0.2">
      <c r="A32" s="90"/>
      <c r="B32" s="90"/>
      <c r="C32" s="90"/>
    </row>
    <row r="33" spans="1:3" x14ac:dyDescent="0.2">
      <c r="A33" s="58" t="s">
        <v>7</v>
      </c>
      <c r="B33" s="59"/>
    </row>
    <row r="34" spans="1:3" x14ac:dyDescent="0.2">
      <c r="A34" s="96" t="s">
        <v>8</v>
      </c>
      <c r="B34" s="103" t="e">
        <f>B25+B30+B31</f>
        <v>#VALUE!</v>
      </c>
      <c r="C34" s="60" t="s">
        <v>175</v>
      </c>
    </row>
    <row r="35" spans="1:3" x14ac:dyDescent="0.2">
      <c r="B35" s="59"/>
    </row>
    <row r="36" spans="1:3" x14ac:dyDescent="0.2">
      <c r="A36" s="95" t="s">
        <v>178</v>
      </c>
      <c r="B36" s="104" t="e">
        <f>B34/-B30</f>
        <v>#VALUE!</v>
      </c>
      <c r="C36" s="60" t="s">
        <v>9</v>
      </c>
    </row>
  </sheetData>
  <sheetProtection algorithmName="SHA-512" hashValue="5s8ioz/C1DDskhhPhf5WLlSRkoztV4ahxI8XUgp9g/Mvw5aFMGaDu0dStzhefWrHHcDtbppmVHhZzjxKAVLm0A==" saltValue="8xR602ymIaAVCm2e6JEzqg==" spinCount="100000" sheet="1" objects="1" scenarios="1" selectLockedCells="1"/>
  <protectedRanges>
    <protectedRange sqref="B8:B12" name="Område1_1"/>
  </protectedRanges>
  <phoneticPr fontId="2" type="noConversion"/>
  <pageMargins left="0.78740157499999996" right="0.78740157499999996" top="0.984251969" bottom="0.984251969" header="0.5" footer="0.5"/>
  <pageSetup paperSize="9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G54"/>
  <sheetViews>
    <sheetView workbookViewId="0">
      <selection activeCell="B9" sqref="B9"/>
    </sheetView>
  </sheetViews>
  <sheetFormatPr baseColWidth="10" defaultRowHeight="12.75" x14ac:dyDescent="0.2"/>
  <cols>
    <col min="1" max="1" width="51.7109375" style="60" customWidth="1"/>
    <col min="2" max="2" width="22.5703125" style="60" customWidth="1"/>
    <col min="3" max="3" width="21.5703125" style="60" customWidth="1"/>
    <col min="4" max="4" width="20.28515625" style="60" bestFit="1" customWidth="1"/>
    <col min="5" max="5" width="10.85546875" style="60" customWidth="1"/>
    <col min="6" max="6" width="20" style="60" bestFit="1" customWidth="1"/>
    <col min="7" max="7" width="12.28515625" style="60" customWidth="1"/>
    <col min="8" max="16384" width="11.42578125" style="60"/>
  </cols>
  <sheetData>
    <row r="1" spans="1:6" ht="13.5" thickBot="1" x14ac:dyDescent="0.25">
      <c r="A1" s="58" t="s">
        <v>255</v>
      </c>
    </row>
    <row r="2" spans="1:6" x14ac:dyDescent="0.2">
      <c r="A2" s="61" t="s">
        <v>156</v>
      </c>
      <c r="B2" s="62"/>
      <c r="C2" s="63"/>
    </row>
    <row r="3" spans="1:6" x14ac:dyDescent="0.2">
      <c r="A3" s="65" t="s">
        <v>188</v>
      </c>
      <c r="B3" s="66">
        <f>Analyseperiode</f>
        <v>40</v>
      </c>
      <c r="C3" s="67" t="s">
        <v>104</v>
      </c>
      <c r="D3" s="117"/>
      <c r="E3" s="117"/>
      <c r="F3" s="117"/>
    </row>
    <row r="4" spans="1:6" x14ac:dyDescent="0.2">
      <c r="A4" s="65" t="s">
        <v>189</v>
      </c>
      <c r="B4" s="68"/>
      <c r="C4" s="64"/>
      <c r="D4" s="98"/>
      <c r="E4" s="98"/>
      <c r="F4" s="98"/>
    </row>
    <row r="5" spans="1:6" ht="13.5" thickBot="1" x14ac:dyDescent="0.25">
      <c r="A5" s="70" t="s">
        <v>215</v>
      </c>
      <c r="B5" s="71"/>
      <c r="C5" s="72"/>
      <c r="D5" s="98"/>
      <c r="E5" s="98"/>
      <c r="F5" s="98"/>
    </row>
    <row r="6" spans="1:6" x14ac:dyDescent="0.2">
      <c r="A6" s="73"/>
      <c r="B6" s="118"/>
      <c r="C6" s="75"/>
      <c r="D6" s="98"/>
      <c r="E6" s="98"/>
      <c r="F6" s="98"/>
    </row>
    <row r="7" spans="1:6" x14ac:dyDescent="0.2">
      <c r="A7" s="73"/>
      <c r="B7" s="197" t="s">
        <v>257</v>
      </c>
      <c r="C7" s="197"/>
      <c r="D7" s="197"/>
      <c r="E7" s="119"/>
      <c r="F7" s="119"/>
    </row>
    <row r="8" spans="1:6" x14ac:dyDescent="0.2">
      <c r="A8" s="58" t="s">
        <v>13</v>
      </c>
      <c r="B8" s="120" t="s">
        <v>87</v>
      </c>
      <c r="C8" s="120" t="s">
        <v>86</v>
      </c>
      <c r="D8" s="120" t="s">
        <v>71</v>
      </c>
      <c r="E8" s="120" t="s">
        <v>264</v>
      </c>
      <c r="F8" s="120" t="s">
        <v>256</v>
      </c>
    </row>
    <row r="9" spans="1:6" x14ac:dyDescent="0.2">
      <c r="A9" s="96" t="s">
        <v>36</v>
      </c>
      <c r="B9" s="121" t="s">
        <v>40</v>
      </c>
      <c r="C9" s="121" t="s">
        <v>40</v>
      </c>
      <c r="D9" s="121" t="s">
        <v>40</v>
      </c>
      <c r="E9" s="121" t="s">
        <v>40</v>
      </c>
      <c r="F9" s="121" t="s">
        <v>40</v>
      </c>
    </row>
    <row r="10" spans="1:6" x14ac:dyDescent="0.2">
      <c r="A10" s="96" t="s">
        <v>77</v>
      </c>
      <c r="B10" s="121" t="s">
        <v>40</v>
      </c>
      <c r="C10" s="121" t="s">
        <v>40</v>
      </c>
      <c r="D10" s="121" t="s">
        <v>40</v>
      </c>
      <c r="E10" s="121" t="s">
        <v>40</v>
      </c>
      <c r="F10" s="121" t="s">
        <v>40</v>
      </c>
    </row>
    <row r="11" spans="1:6" x14ac:dyDescent="0.2">
      <c r="A11" s="96" t="s">
        <v>96</v>
      </c>
      <c r="B11" s="79">
        <v>0</v>
      </c>
      <c r="C11" s="79">
        <v>0</v>
      </c>
      <c r="D11" s="79">
        <v>0</v>
      </c>
      <c r="E11" s="79">
        <v>0</v>
      </c>
      <c r="F11" s="79">
        <v>0</v>
      </c>
    </row>
    <row r="12" spans="1:6" x14ac:dyDescent="0.2">
      <c r="A12" s="96" t="s">
        <v>37</v>
      </c>
      <c r="B12" s="80">
        <f>Forutsetninger!G23</f>
        <v>12</v>
      </c>
      <c r="C12" s="122">
        <f>Forutsetninger!G24</f>
        <v>7</v>
      </c>
      <c r="D12" s="122">
        <f>Forutsetninger!G25</f>
        <v>7</v>
      </c>
      <c r="E12" s="122">
        <f>Forutsetninger!G17</f>
        <v>10</v>
      </c>
      <c r="F12" s="122">
        <f>Forutsetninger!G26</f>
        <v>20</v>
      </c>
    </row>
    <row r="13" spans="1:6" x14ac:dyDescent="0.2">
      <c r="A13" s="123" t="s">
        <v>282</v>
      </c>
      <c r="B13" s="124" t="s">
        <v>40</v>
      </c>
      <c r="C13" s="125"/>
      <c r="D13" s="125"/>
      <c r="E13" s="125"/>
      <c r="F13" s="125"/>
    </row>
    <row r="14" spans="1:6" x14ac:dyDescent="0.2">
      <c r="A14" s="126" t="s">
        <v>258</v>
      </c>
      <c r="D14" s="59"/>
      <c r="E14" s="59"/>
      <c r="F14" s="59"/>
    </row>
    <row r="15" spans="1:6" x14ac:dyDescent="0.2">
      <c r="B15" s="59"/>
      <c r="D15" s="59"/>
      <c r="E15" s="59"/>
      <c r="F15" s="59"/>
    </row>
    <row r="16" spans="1:6" hidden="1" x14ac:dyDescent="0.2">
      <c r="A16" s="81" t="s">
        <v>111</v>
      </c>
      <c r="B16" s="82">
        <f>INT(Analyseperiode/B12)+1</f>
        <v>4</v>
      </c>
      <c r="C16" s="82">
        <f>INT(Analyseperiode/C12)+1</f>
        <v>6</v>
      </c>
      <c r="D16" s="82">
        <f>INT(Analyseperiode/D12)+1</f>
        <v>6</v>
      </c>
      <c r="E16" s="82">
        <f>INT(Analyseperiode/E12)+1</f>
        <v>5</v>
      </c>
      <c r="F16" s="82">
        <f>INT(Analyseperiode/F12)+1</f>
        <v>3</v>
      </c>
    </row>
    <row r="17" spans="1:7" hidden="1" x14ac:dyDescent="0.2">
      <c r="A17" s="81" t="s">
        <v>140</v>
      </c>
      <c r="B17" s="83">
        <f>(1-((1+Drente)^(-B12*B16)))/(1-((1+Drente)^(-B12)))+((Analyseperiode-(B12*B16))/(B12*((1+Drente)^Analyseperiode)))</f>
        <v>2.1195278826687241</v>
      </c>
      <c r="C17" s="83">
        <f>(1-((1+Drente)^(-C12*C16)))/(1-((1+Drente)^(-C12)))+((Analyseperiode-(C12*C16))/(C12*((1+Drente)^Analyseperiode)))</f>
        <v>3.3036082845298567</v>
      </c>
      <c r="D17" s="83">
        <f>(1-((1+Drente)^(-D12*D16)))/(1-((1+Drente)^(-D12)))+((Analyseperiode-(D12*D16))/(D12*((1+Drente)^Analyseperiode)))</f>
        <v>3.3036082845298567</v>
      </c>
      <c r="E17" s="83">
        <f>(1-((1+Drente)^(-E12*E16)))/(1-((1+Drente)^(-E12)))+((Analyseperiode-(E12*E16))/(E12*((1+Drente)^Analyseperiode)))</f>
        <v>2.4402697830005105</v>
      </c>
      <c r="F17" s="83">
        <f>(1-((1+Drente)^(-F12*F16)))/(1-((1+Drente)^(-F12)))+((Analyseperiode-(F12*F16))/(F12*((1+Drente)^Analyseperiode)))</f>
        <v>1.4563869462012919</v>
      </c>
    </row>
    <row r="18" spans="1:7" x14ac:dyDescent="0.2">
      <c r="A18" s="73"/>
      <c r="B18" s="84"/>
      <c r="D18" s="59"/>
      <c r="E18" s="59"/>
      <c r="F18" s="59"/>
    </row>
    <row r="19" spans="1:7" x14ac:dyDescent="0.2">
      <c r="A19" s="58" t="s">
        <v>143</v>
      </c>
      <c r="B19" s="59"/>
      <c r="D19" s="59"/>
      <c r="E19" s="59"/>
      <c r="F19" s="59"/>
    </row>
    <row r="20" spans="1:7" x14ac:dyDescent="0.2">
      <c r="A20" s="95" t="s">
        <v>10</v>
      </c>
      <c r="B20" s="100" t="e">
        <f>B13*Forutsetninger!D36</f>
        <v>#VALUE!</v>
      </c>
    </row>
    <row r="21" spans="1:7" x14ac:dyDescent="0.2">
      <c r="A21" s="96" t="s">
        <v>112</v>
      </c>
      <c r="B21" s="101">
        <v>0</v>
      </c>
    </row>
    <row r="22" spans="1:7" x14ac:dyDescent="0.2">
      <c r="A22" s="96" t="s">
        <v>14</v>
      </c>
      <c r="B22" s="101">
        <v>0</v>
      </c>
    </row>
    <row r="23" spans="1:7" x14ac:dyDescent="0.2">
      <c r="A23" s="96" t="s">
        <v>47</v>
      </c>
      <c r="B23" s="101" t="e">
        <f>SUM(B22,B21,B20)</f>
        <v>#VALUE!</v>
      </c>
    </row>
    <row r="24" spans="1:7" x14ac:dyDescent="0.2">
      <c r="A24" s="96" t="s">
        <v>171</v>
      </c>
      <c r="B24" s="101" t="e">
        <f>B20*Afaktor_vekst</f>
        <v>#VALUE!</v>
      </c>
    </row>
    <row r="25" spans="1:7" x14ac:dyDescent="0.2">
      <c r="A25" s="96" t="s">
        <v>172</v>
      </c>
      <c r="B25" s="101">
        <f>B21*Afaktor_vekst</f>
        <v>0</v>
      </c>
    </row>
    <row r="26" spans="1:7" x14ac:dyDescent="0.2">
      <c r="A26" s="96" t="s">
        <v>173</v>
      </c>
      <c r="B26" s="101">
        <f>B22*Afaktor_vekst</f>
        <v>0</v>
      </c>
    </row>
    <row r="27" spans="1:7" x14ac:dyDescent="0.2">
      <c r="A27" s="95" t="s">
        <v>254</v>
      </c>
      <c r="B27" s="101" t="e">
        <f>B23*Afaktor_vekst</f>
        <v>#VALUE!</v>
      </c>
    </row>
    <row r="28" spans="1:7" x14ac:dyDescent="0.2">
      <c r="A28" s="75"/>
      <c r="B28" s="97"/>
    </row>
    <row r="29" spans="1:7" x14ac:dyDescent="0.2">
      <c r="A29" s="75"/>
      <c r="B29" s="196" t="s">
        <v>257</v>
      </c>
      <c r="C29" s="196"/>
      <c r="D29" s="196"/>
    </row>
    <row r="30" spans="1:7" x14ac:dyDescent="0.2">
      <c r="A30" s="88" t="s">
        <v>144</v>
      </c>
      <c r="B30" s="120" t="s">
        <v>87</v>
      </c>
      <c r="C30" s="120" t="s">
        <v>86</v>
      </c>
      <c r="D30" s="127" t="s">
        <v>71</v>
      </c>
      <c r="E30" s="120" t="s">
        <v>194</v>
      </c>
      <c r="F30" s="120" t="s">
        <v>256</v>
      </c>
      <c r="G30" s="127" t="s">
        <v>98</v>
      </c>
    </row>
    <row r="31" spans="1:7" x14ac:dyDescent="0.2">
      <c r="A31" s="95" t="s">
        <v>142</v>
      </c>
      <c r="B31" s="128" t="e">
        <f>-B9*$B$17</f>
        <v>#VALUE!</v>
      </c>
      <c r="C31" s="128" t="e">
        <f>-C9*$C$17</f>
        <v>#VALUE!</v>
      </c>
      <c r="D31" s="128" t="e">
        <f>-D9*$D$17</f>
        <v>#VALUE!</v>
      </c>
      <c r="E31" s="128" t="e">
        <f>-E9*$E$17+B51</f>
        <v>#VALUE!</v>
      </c>
      <c r="F31" s="128" t="e">
        <f>-F9*$F$17</f>
        <v>#VALUE!</v>
      </c>
      <c r="G31" s="129" t="e">
        <f>SUM(B31:F31)</f>
        <v>#VALUE!</v>
      </c>
    </row>
    <row r="32" spans="1:7" x14ac:dyDescent="0.2">
      <c r="A32" s="96" t="s">
        <v>141</v>
      </c>
      <c r="B32" s="128" t="e">
        <f>-B10*Afaktor</f>
        <v>#VALUE!</v>
      </c>
      <c r="C32" s="128" t="e">
        <f>-C10*Afaktor</f>
        <v>#VALUE!</v>
      </c>
      <c r="D32" s="128" t="e">
        <f>-D10*Afaktor</f>
        <v>#VALUE!</v>
      </c>
      <c r="E32" s="128" t="e">
        <f>-E10*Afaktor+B52</f>
        <v>#VALUE!</v>
      </c>
      <c r="F32" s="128" t="e">
        <f>-F10*Afaktor</f>
        <v>#VALUE!</v>
      </c>
      <c r="G32" s="129" t="e">
        <f>SUM(B32:F32)</f>
        <v>#VALUE!</v>
      </c>
    </row>
    <row r="33" spans="1:7" x14ac:dyDescent="0.2">
      <c r="A33" s="95" t="s">
        <v>214</v>
      </c>
      <c r="B33" s="128" t="e">
        <f>B31+B32</f>
        <v>#VALUE!</v>
      </c>
      <c r="C33" s="128" t="e">
        <f>C31+C32</f>
        <v>#VALUE!</v>
      </c>
      <c r="D33" s="128" t="e">
        <f>D31+D32</f>
        <v>#VALUE!</v>
      </c>
      <c r="E33" s="128" t="e">
        <f>E31+E32</f>
        <v>#VALUE!</v>
      </c>
      <c r="F33" s="128" t="e">
        <f>F31+F32</f>
        <v>#VALUE!</v>
      </c>
      <c r="G33" s="129" t="e">
        <f>SUM(B33:F33)</f>
        <v>#VALUE!</v>
      </c>
    </row>
    <row r="34" spans="1:7" x14ac:dyDescent="0.2">
      <c r="A34" s="96" t="s">
        <v>174</v>
      </c>
      <c r="B34" s="128" t="e">
        <f>(1-B11)*B33*Skyggepris</f>
        <v>#VALUE!</v>
      </c>
      <c r="C34" s="128" t="e">
        <f>(1-C11)*C33*Skyggepris</f>
        <v>#VALUE!</v>
      </c>
      <c r="D34" s="128" t="e">
        <f>(1-D11)*D33*Skyggepris</f>
        <v>#VALUE!</v>
      </c>
      <c r="E34" s="128" t="e">
        <f>(1-E11)*E33*Skyggepris+B54</f>
        <v>#VALUE!</v>
      </c>
      <c r="F34" s="128" t="e">
        <f>(1-F11)*F33*Skyggepris</f>
        <v>#VALUE!</v>
      </c>
      <c r="G34" s="129" t="e">
        <f>SUM(B34:F34)</f>
        <v>#VALUE!</v>
      </c>
    </row>
    <row r="35" spans="1:7" x14ac:dyDescent="0.2">
      <c r="A35" s="126"/>
      <c r="B35" s="90"/>
      <c r="C35" s="90"/>
    </row>
    <row r="36" spans="1:7" x14ac:dyDescent="0.2">
      <c r="A36" s="58" t="s">
        <v>7</v>
      </c>
      <c r="B36" s="59"/>
    </row>
    <row r="37" spans="1:7" x14ac:dyDescent="0.2">
      <c r="A37" s="96" t="s">
        <v>8</v>
      </c>
      <c r="B37" s="128" t="e">
        <f>B27+G33+G34</f>
        <v>#VALUE!</v>
      </c>
      <c r="C37" s="60" t="s">
        <v>175</v>
      </c>
    </row>
    <row r="38" spans="1:7" x14ac:dyDescent="0.2">
      <c r="B38" s="59"/>
    </row>
    <row r="39" spans="1:7" x14ac:dyDescent="0.2">
      <c r="A39" s="95" t="s">
        <v>178</v>
      </c>
      <c r="B39" s="104" t="e">
        <f>B37/-G33</f>
        <v>#VALUE!</v>
      </c>
      <c r="C39" s="60" t="s">
        <v>9</v>
      </c>
    </row>
    <row r="40" spans="1:7" x14ac:dyDescent="0.2">
      <c r="A40" s="73"/>
      <c r="B40" s="102"/>
    </row>
    <row r="41" spans="1:7" x14ac:dyDescent="0.2">
      <c r="A41" s="73"/>
      <c r="B41" s="102"/>
    </row>
    <row r="42" spans="1:7" x14ac:dyDescent="0.2">
      <c r="A42" s="73"/>
      <c r="B42" s="102"/>
    </row>
    <row r="43" spans="1:7" x14ac:dyDescent="0.2">
      <c r="A43" s="73"/>
      <c r="B43" s="102"/>
    </row>
    <row r="44" spans="1:7" x14ac:dyDescent="0.2">
      <c r="A44" s="73"/>
      <c r="B44" s="102"/>
    </row>
    <row r="45" spans="1:7" x14ac:dyDescent="0.2">
      <c r="A45" s="58" t="s">
        <v>260</v>
      </c>
      <c r="B45" s="59"/>
    </row>
    <row r="46" spans="1:7" x14ac:dyDescent="0.2">
      <c r="A46" s="95" t="s">
        <v>177</v>
      </c>
      <c r="B46" s="111">
        <v>0</v>
      </c>
    </row>
    <row r="47" spans="1:7" x14ac:dyDescent="0.2">
      <c r="A47" s="96" t="s">
        <v>77</v>
      </c>
      <c r="B47" s="77">
        <v>0</v>
      </c>
    </row>
    <row r="48" spans="1:7" x14ac:dyDescent="0.2">
      <c r="A48" s="96" t="s">
        <v>37</v>
      </c>
      <c r="B48" s="80">
        <f>Forutsetninger!G37</f>
        <v>10</v>
      </c>
    </row>
    <row r="49" spans="1:3" hidden="1" x14ac:dyDescent="0.2">
      <c r="A49" s="130" t="s">
        <v>38</v>
      </c>
      <c r="B49" s="131">
        <f>INT(Analyseperiode/B48)+1</f>
        <v>5</v>
      </c>
    </row>
    <row r="50" spans="1:3" hidden="1" x14ac:dyDescent="0.2">
      <c r="A50" s="132" t="s">
        <v>164</v>
      </c>
      <c r="B50" s="133">
        <f>(1-((1+Drente)^(-B48*B49)))/(1-((1+Drente)^(-B48)))+((Analyseperiode-(B48*B49))/(B48*((1+Drente)^Analyseperiode)))</f>
        <v>2.4402697830005105</v>
      </c>
    </row>
    <row r="51" spans="1:3" x14ac:dyDescent="0.2">
      <c r="A51" s="123" t="s">
        <v>142</v>
      </c>
      <c r="B51" s="101">
        <f>-B46*B50</f>
        <v>0</v>
      </c>
      <c r="C51" s="60" t="s">
        <v>109</v>
      </c>
    </row>
    <row r="52" spans="1:3" x14ac:dyDescent="0.2">
      <c r="A52" s="134" t="s">
        <v>141</v>
      </c>
      <c r="B52" s="103">
        <f>-B47*Afaktor</f>
        <v>0</v>
      </c>
      <c r="C52" s="60" t="s">
        <v>109</v>
      </c>
    </row>
    <row r="53" spans="1:3" x14ac:dyDescent="0.2">
      <c r="A53" s="123" t="s">
        <v>170</v>
      </c>
      <c r="B53" s="101">
        <f>B51+B52</f>
        <v>0</v>
      </c>
      <c r="C53" s="60" t="s">
        <v>109</v>
      </c>
    </row>
    <row r="54" spans="1:3" x14ac:dyDescent="0.2">
      <c r="A54" s="95" t="s">
        <v>174</v>
      </c>
      <c r="B54" s="128">
        <f>(1-E11)*B53*Skyggepris</f>
        <v>0</v>
      </c>
      <c r="C54" s="60" t="s">
        <v>109</v>
      </c>
    </row>
  </sheetData>
  <sheetProtection algorithmName="SHA-512" hashValue="8mKVEqwyMI+QzbmgZC8NPgjC4dO1n591C8vIHmU7jl/za2h9yKU3zatNi5XkjJHmVaY4d45aHMki0yIa5MUpZA==" saltValue="RON1hNS5TCpQl2UA01aYXQ==" spinCount="100000" sheet="1" objects="1" scenarios="1" selectLockedCells="1"/>
  <protectedRanges>
    <protectedRange sqref="D4:F7" name="Område1"/>
    <protectedRange sqref="B11:F12 B9:D10" name="Område1_2"/>
  </protectedRanges>
  <mergeCells count="2">
    <mergeCell ref="B29:D29"/>
    <mergeCell ref="B7:D7"/>
  </mergeCells>
  <conditionalFormatting sqref="B12">
    <cfRule type="cellIs" dxfId="0" priority="1" stopIfTrue="1" operator="equal">
      <formula>"Velg type tiltak i celle B4"</formula>
    </cfRule>
  </conditionalFormatting>
  <pageMargins left="0.45" right="0.25" top="0.39" bottom="0.23" header="0.28999999999999998" footer="0.5"/>
  <pageSetup paperSize="9" scale="8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">
    <pageSetUpPr fitToPage="1"/>
  </sheetPr>
  <dimension ref="B1:J45"/>
  <sheetViews>
    <sheetView showGridLines="0" zoomScaleNormal="100" workbookViewId="0">
      <selection activeCell="C6" sqref="C6"/>
    </sheetView>
  </sheetViews>
  <sheetFormatPr baseColWidth="10" defaultRowHeight="12.75" x14ac:dyDescent="0.2"/>
  <cols>
    <col min="1" max="1" width="3.85546875" style="10" customWidth="1"/>
    <col min="2" max="2" width="54.5703125" style="10" bestFit="1" customWidth="1"/>
    <col min="3" max="3" width="17" style="10" customWidth="1"/>
    <col min="4" max="4" width="12.7109375" style="10" bestFit="1" customWidth="1"/>
    <col min="5" max="5" width="3" style="10" customWidth="1"/>
    <col min="6" max="6" width="43.85546875" style="10" bestFit="1" customWidth="1"/>
    <col min="7" max="7" width="11.42578125" style="10"/>
    <col min="8" max="8" width="0" style="10" hidden="1" customWidth="1"/>
    <col min="9" max="16384" width="11.42578125" style="10"/>
  </cols>
  <sheetData>
    <row r="1" spans="2:10" ht="13.5" thickBot="1" x14ac:dyDescent="0.25"/>
    <row r="2" spans="2:10" x14ac:dyDescent="0.2">
      <c r="B2" s="11" t="s">
        <v>13</v>
      </c>
      <c r="C2" s="153"/>
    </row>
    <row r="3" spans="2:10" x14ac:dyDescent="0.2">
      <c r="B3" s="154" t="s">
        <v>138</v>
      </c>
      <c r="C3" s="193">
        <v>0.2</v>
      </c>
    </row>
    <row r="4" spans="2:10" x14ac:dyDescent="0.2">
      <c r="B4" s="155" t="s">
        <v>137</v>
      </c>
      <c r="C4" s="156">
        <v>0.04</v>
      </c>
    </row>
    <row r="5" spans="2:10" x14ac:dyDescent="0.2">
      <c r="B5" s="154" t="s">
        <v>157</v>
      </c>
      <c r="C5" s="156">
        <v>1.2999999999999999E-2</v>
      </c>
    </row>
    <row r="6" spans="2:10" ht="13.5" thickBot="1" x14ac:dyDescent="0.25">
      <c r="B6" s="157" t="s">
        <v>307</v>
      </c>
      <c r="C6" s="158">
        <v>40</v>
      </c>
    </row>
    <row r="7" spans="2:10" hidden="1" x14ac:dyDescent="0.2">
      <c r="B7" s="179" t="s">
        <v>158</v>
      </c>
      <c r="C7" s="180">
        <f>(Drente-Vekstrate)/(1+Vekstrate)</f>
        <v>2.6653504442250744E-2</v>
      </c>
    </row>
    <row r="8" spans="2:10" hidden="1" x14ac:dyDescent="0.2">
      <c r="B8" s="181" t="s">
        <v>139</v>
      </c>
      <c r="C8" s="182">
        <f>(1/Drente)*(1-(1/((1+Drente)^$C$6)))</f>
        <v>19.792773883426474</v>
      </c>
    </row>
    <row r="9" spans="2:10" hidden="1" x14ac:dyDescent="0.2">
      <c r="B9" s="181" t="s">
        <v>159</v>
      </c>
      <c r="C9" s="182">
        <f>(1/Drente_vekst)*(1-(1/((1+Drente_vekst)^$C$6)))</f>
        <v>24.417956613828981</v>
      </c>
    </row>
    <row r="10" spans="2:10" ht="13.5" thickBot="1" x14ac:dyDescent="0.25">
      <c r="H10" s="50"/>
    </row>
    <row r="11" spans="2:10" x14ac:dyDescent="0.2">
      <c r="B11" s="159" t="s">
        <v>76</v>
      </c>
      <c r="C11" s="160" t="s">
        <v>2</v>
      </c>
      <c r="D11" s="161" t="s">
        <v>303</v>
      </c>
      <c r="E11" s="187"/>
      <c r="F11" s="169" t="s">
        <v>17</v>
      </c>
      <c r="G11" s="170" t="s">
        <v>18</v>
      </c>
      <c r="H11" s="51" t="s">
        <v>35</v>
      </c>
      <c r="I11" s="17"/>
      <c r="J11" s="14"/>
    </row>
    <row r="12" spans="2:10" x14ac:dyDescent="0.2">
      <c r="B12" s="162" t="s">
        <v>0</v>
      </c>
      <c r="C12" s="163" t="s">
        <v>153</v>
      </c>
      <c r="D12" s="164">
        <v>1.0256067390204597</v>
      </c>
      <c r="E12" s="188"/>
      <c r="F12" s="171" t="s">
        <v>107</v>
      </c>
      <c r="G12" s="168">
        <f>Analyseperiode</f>
        <v>40</v>
      </c>
      <c r="H12" s="50" t="s">
        <v>190</v>
      </c>
      <c r="I12" s="12"/>
    </row>
    <row r="13" spans="2:10" x14ac:dyDescent="0.2">
      <c r="B13" s="162" t="s">
        <v>1</v>
      </c>
      <c r="C13" s="165" t="s">
        <v>244</v>
      </c>
      <c r="D13" s="164">
        <v>1.5384101085306898</v>
      </c>
      <c r="E13" s="188"/>
      <c r="F13" s="194" t="s">
        <v>19</v>
      </c>
      <c r="G13" s="168">
        <v>10</v>
      </c>
      <c r="H13" s="52" t="s">
        <v>58</v>
      </c>
      <c r="I13" s="12"/>
    </row>
    <row r="14" spans="2:10" x14ac:dyDescent="0.2">
      <c r="B14" s="162" t="s">
        <v>145</v>
      </c>
      <c r="C14" s="163" t="s">
        <v>153</v>
      </c>
      <c r="D14" s="164">
        <v>2.7729367388330948</v>
      </c>
      <c r="E14" s="188"/>
      <c r="F14" s="171" t="s">
        <v>20</v>
      </c>
      <c r="G14" s="168">
        <v>12</v>
      </c>
      <c r="H14" s="50" t="s">
        <v>59</v>
      </c>
      <c r="I14" s="12"/>
    </row>
    <row r="15" spans="2:10" x14ac:dyDescent="0.2">
      <c r="B15" s="162" t="s">
        <v>4</v>
      </c>
      <c r="C15" s="163" t="s">
        <v>154</v>
      </c>
      <c r="D15" s="164">
        <v>6.0016544708018058</v>
      </c>
      <c r="E15" s="189"/>
      <c r="F15" s="172" t="s">
        <v>146</v>
      </c>
      <c r="G15" s="168">
        <v>12</v>
      </c>
      <c r="H15" s="50" t="s">
        <v>161</v>
      </c>
      <c r="I15" s="12"/>
    </row>
    <row r="16" spans="2:10" x14ac:dyDescent="0.2">
      <c r="B16" s="162" t="s">
        <v>146</v>
      </c>
      <c r="C16" s="163" t="s">
        <v>155</v>
      </c>
      <c r="D16" s="164">
        <v>2.2563348258450109</v>
      </c>
      <c r="E16" s="189"/>
      <c r="F16" s="171" t="s">
        <v>21</v>
      </c>
      <c r="G16" s="168">
        <f>Analyseperiode</f>
        <v>40</v>
      </c>
      <c r="H16" s="50" t="s">
        <v>190</v>
      </c>
      <c r="I16" s="12"/>
    </row>
    <row r="17" spans="2:10" x14ac:dyDescent="0.2">
      <c r="B17" s="162" t="s">
        <v>218</v>
      </c>
      <c r="C17" s="163" t="s">
        <v>155</v>
      </c>
      <c r="D17" s="164">
        <v>3.5554366952709273</v>
      </c>
      <c r="E17" s="189"/>
      <c r="F17" s="171" t="s">
        <v>74</v>
      </c>
      <c r="G17" s="168">
        <v>10</v>
      </c>
      <c r="H17" s="50"/>
      <c r="I17" s="12"/>
    </row>
    <row r="18" spans="2:10" x14ac:dyDescent="0.2">
      <c r="B18" s="162" t="s">
        <v>219</v>
      </c>
      <c r="C18" s="163" t="s">
        <v>155</v>
      </c>
      <c r="D18" s="164">
        <v>5.8117715211159382</v>
      </c>
      <c r="E18" s="189"/>
      <c r="F18" s="173" t="s">
        <v>22</v>
      </c>
      <c r="G18" s="168">
        <v>1</v>
      </c>
      <c r="H18" s="50" t="s">
        <v>60</v>
      </c>
      <c r="I18" s="12"/>
    </row>
    <row r="19" spans="2:10" x14ac:dyDescent="0.2">
      <c r="B19" s="162" t="s">
        <v>220</v>
      </c>
      <c r="C19" s="163" t="s">
        <v>155</v>
      </c>
      <c r="D19" s="166">
        <v>4.1252182169489604</v>
      </c>
      <c r="E19" s="189"/>
      <c r="F19" s="171" t="s">
        <v>23</v>
      </c>
      <c r="G19" s="168">
        <v>0.5</v>
      </c>
      <c r="H19" s="52" t="s">
        <v>61</v>
      </c>
      <c r="I19" s="12"/>
    </row>
    <row r="20" spans="2:10" x14ac:dyDescent="0.2">
      <c r="B20" s="162" t="s">
        <v>221</v>
      </c>
      <c r="C20" s="163" t="s">
        <v>155</v>
      </c>
      <c r="D20" s="164">
        <v>5.6636283254796496</v>
      </c>
      <c r="E20" s="189"/>
      <c r="F20" s="171" t="s">
        <v>79</v>
      </c>
      <c r="G20" s="168">
        <f>G31</f>
        <v>10</v>
      </c>
      <c r="H20" s="53" t="s">
        <v>80</v>
      </c>
      <c r="I20" s="12"/>
    </row>
    <row r="21" spans="2:10" x14ac:dyDescent="0.2">
      <c r="B21" s="162" t="s">
        <v>21</v>
      </c>
      <c r="C21" s="163" t="s">
        <v>155</v>
      </c>
      <c r="D21" s="164">
        <v>0.95153514120231542</v>
      </c>
      <c r="E21" s="189"/>
      <c r="F21" s="173" t="s">
        <v>81</v>
      </c>
      <c r="G21" s="168">
        <v>7</v>
      </c>
      <c r="H21" s="53" t="s">
        <v>82</v>
      </c>
      <c r="I21" s="12"/>
    </row>
    <row r="22" spans="2:10" x14ac:dyDescent="0.2">
      <c r="B22" s="162" t="s">
        <v>222</v>
      </c>
      <c r="C22" s="163" t="s">
        <v>155</v>
      </c>
      <c r="D22" s="164">
        <v>0.49001210864310857</v>
      </c>
      <c r="E22" s="189"/>
      <c r="F22" s="173" t="s">
        <v>65</v>
      </c>
      <c r="G22" s="168"/>
      <c r="H22" s="54"/>
      <c r="I22" s="13"/>
    </row>
    <row r="23" spans="2:10" x14ac:dyDescent="0.2">
      <c r="B23" s="162" t="s">
        <v>223</v>
      </c>
      <c r="C23" s="163" t="s">
        <v>155</v>
      </c>
      <c r="D23" s="164">
        <v>0.49001210864310857</v>
      </c>
      <c r="E23" s="189"/>
      <c r="F23" s="173" t="s">
        <v>88</v>
      </c>
      <c r="G23" s="168">
        <v>12</v>
      </c>
      <c r="H23" s="54" t="s">
        <v>66</v>
      </c>
      <c r="I23" s="13"/>
      <c r="J23" s="15"/>
    </row>
    <row r="24" spans="2:10" x14ac:dyDescent="0.2">
      <c r="B24" s="162" t="s">
        <v>147</v>
      </c>
      <c r="C24" s="163" t="s">
        <v>155</v>
      </c>
      <c r="D24" s="164">
        <v>4.6679534772902924</v>
      </c>
      <c r="E24" s="189"/>
      <c r="F24" s="171" t="s">
        <v>89</v>
      </c>
      <c r="G24" s="168">
        <v>7</v>
      </c>
      <c r="H24" s="54" t="s">
        <v>67</v>
      </c>
      <c r="I24" s="13"/>
      <c r="J24" s="15"/>
    </row>
    <row r="25" spans="2:10" x14ac:dyDescent="0.2">
      <c r="B25" s="162" t="s">
        <v>148</v>
      </c>
      <c r="C25" s="163" t="s">
        <v>155</v>
      </c>
      <c r="D25" s="164">
        <v>4.1821963691167632</v>
      </c>
      <c r="E25" s="189"/>
      <c r="F25" s="171" t="s">
        <v>64</v>
      </c>
      <c r="G25" s="168">
        <v>7</v>
      </c>
      <c r="H25" s="54" t="s">
        <v>67</v>
      </c>
      <c r="I25" s="13"/>
      <c r="J25" s="15"/>
    </row>
    <row r="26" spans="2:10" x14ac:dyDescent="0.2">
      <c r="B26" s="162" t="s">
        <v>149</v>
      </c>
      <c r="C26" s="163" t="s">
        <v>155</v>
      </c>
      <c r="D26" s="164">
        <v>0.69463593412057933</v>
      </c>
      <c r="E26" s="189"/>
      <c r="F26" s="171" t="s">
        <v>24</v>
      </c>
      <c r="G26" s="168">
        <v>20</v>
      </c>
      <c r="H26" s="52" t="s">
        <v>62</v>
      </c>
      <c r="I26" s="12"/>
      <c r="J26" s="15"/>
    </row>
    <row r="27" spans="2:10" x14ac:dyDescent="0.2">
      <c r="B27" s="162" t="s">
        <v>150</v>
      </c>
      <c r="C27" s="167" t="s">
        <v>155</v>
      </c>
      <c r="D27" s="164">
        <v>4.6152303255920684</v>
      </c>
      <c r="E27" s="189"/>
      <c r="F27" s="171" t="s">
        <v>25</v>
      </c>
      <c r="G27" s="174" t="s">
        <v>68</v>
      </c>
      <c r="H27" s="53" t="s">
        <v>83</v>
      </c>
      <c r="I27" s="12"/>
    </row>
    <row r="28" spans="2:10" x14ac:dyDescent="0.2">
      <c r="B28" s="162" t="s">
        <v>151</v>
      </c>
      <c r="C28" s="167" t="s">
        <v>155</v>
      </c>
      <c r="D28" s="164">
        <v>0.78629849991568579</v>
      </c>
      <c r="E28" s="189"/>
      <c r="F28" s="171" t="s">
        <v>26</v>
      </c>
      <c r="G28" s="174">
        <v>1</v>
      </c>
      <c r="H28" s="50" t="s">
        <v>70</v>
      </c>
      <c r="I28" s="12"/>
    </row>
    <row r="29" spans="2:10" x14ac:dyDescent="0.2">
      <c r="B29" s="162" t="s">
        <v>5</v>
      </c>
      <c r="C29" s="167" t="s">
        <v>155</v>
      </c>
      <c r="D29" s="164">
        <v>4.1252182169489604</v>
      </c>
      <c r="E29" s="189"/>
      <c r="F29" s="171" t="s">
        <v>27</v>
      </c>
      <c r="G29" s="168">
        <v>20</v>
      </c>
      <c r="H29" s="53" t="s">
        <v>294</v>
      </c>
      <c r="I29" s="12"/>
    </row>
    <row r="30" spans="2:10" x14ac:dyDescent="0.2">
      <c r="B30" s="162" t="s">
        <v>26</v>
      </c>
      <c r="C30" s="167" t="s">
        <v>155</v>
      </c>
      <c r="D30" s="164">
        <v>2.8341146112119642</v>
      </c>
      <c r="E30" s="189"/>
      <c r="F30" s="171" t="s">
        <v>29</v>
      </c>
      <c r="G30" s="168">
        <v>20</v>
      </c>
      <c r="H30" s="52" t="s">
        <v>62</v>
      </c>
      <c r="I30" s="12"/>
    </row>
    <row r="31" spans="2:10" x14ac:dyDescent="0.2">
      <c r="B31" s="162" t="s">
        <v>27</v>
      </c>
      <c r="C31" s="167" t="s">
        <v>155</v>
      </c>
      <c r="D31" s="164">
        <v>3.2135677822641071</v>
      </c>
      <c r="E31" s="189"/>
      <c r="F31" s="171" t="s">
        <v>30</v>
      </c>
      <c r="G31" s="168">
        <v>10</v>
      </c>
      <c r="H31" s="50" t="s">
        <v>69</v>
      </c>
      <c r="I31" s="12"/>
    </row>
    <row r="32" spans="2:10" x14ac:dyDescent="0.2">
      <c r="B32" s="162" t="s">
        <v>28</v>
      </c>
      <c r="C32" s="167" t="s">
        <v>155</v>
      </c>
      <c r="D32" s="164">
        <v>3.6537850134742476</v>
      </c>
      <c r="E32" s="189"/>
      <c r="F32" s="171" t="s">
        <v>31</v>
      </c>
      <c r="G32" s="168">
        <v>15</v>
      </c>
      <c r="H32" s="50"/>
      <c r="I32" s="12"/>
    </row>
    <row r="33" spans="2:9" x14ac:dyDescent="0.2">
      <c r="B33" s="162" t="s">
        <v>152</v>
      </c>
      <c r="C33" s="167" t="s">
        <v>155</v>
      </c>
      <c r="D33" s="164">
        <v>1.9449806155376221</v>
      </c>
      <c r="E33" s="189"/>
      <c r="F33" s="171" t="s">
        <v>32</v>
      </c>
      <c r="G33" s="168">
        <v>10</v>
      </c>
      <c r="H33" s="50" t="s">
        <v>63</v>
      </c>
      <c r="I33" s="12"/>
    </row>
    <row r="34" spans="2:9" x14ac:dyDescent="0.2">
      <c r="B34" s="162" t="s">
        <v>224</v>
      </c>
      <c r="C34" s="167" t="s">
        <v>155</v>
      </c>
      <c r="D34" s="164">
        <v>1.9030702824046308</v>
      </c>
      <c r="E34" s="189"/>
      <c r="F34" s="171" t="s">
        <v>33</v>
      </c>
      <c r="G34" s="168">
        <f>Analyseperiode</f>
        <v>40</v>
      </c>
      <c r="H34" s="50" t="s">
        <v>190</v>
      </c>
      <c r="I34" s="12"/>
    </row>
    <row r="35" spans="2:9" x14ac:dyDescent="0.2">
      <c r="B35" s="162" t="s">
        <v>225</v>
      </c>
      <c r="C35" s="167" t="s">
        <v>155</v>
      </c>
      <c r="D35" s="164">
        <v>2.3588954997470575</v>
      </c>
      <c r="E35" s="189"/>
      <c r="F35" s="171" t="s">
        <v>34</v>
      </c>
      <c r="G35" s="168">
        <f>Analyseperiode</f>
        <v>40</v>
      </c>
      <c r="H35" s="50" t="s">
        <v>190</v>
      </c>
      <c r="I35" s="12"/>
    </row>
    <row r="36" spans="2:9" x14ac:dyDescent="0.2">
      <c r="B36" s="162" t="s">
        <v>259</v>
      </c>
      <c r="C36" s="167" t="s">
        <v>155</v>
      </c>
      <c r="D36" s="164">
        <v>5.2647812603050266</v>
      </c>
      <c r="E36" s="189"/>
      <c r="F36" s="171" t="s">
        <v>195</v>
      </c>
      <c r="G36" s="168">
        <f>Analyseperiode</f>
        <v>40</v>
      </c>
      <c r="H36" s="50" t="s">
        <v>190</v>
      </c>
      <c r="I36" s="12"/>
    </row>
    <row r="37" spans="2:9" x14ac:dyDescent="0.2">
      <c r="B37" s="162" t="s">
        <v>253</v>
      </c>
      <c r="C37" s="167" t="s">
        <v>155</v>
      </c>
      <c r="D37" s="164">
        <v>4.7861647820954794</v>
      </c>
      <c r="E37" s="189"/>
      <c r="F37" s="171" t="s">
        <v>110</v>
      </c>
      <c r="G37" s="168">
        <v>10</v>
      </c>
      <c r="H37" s="50" t="s">
        <v>57</v>
      </c>
      <c r="I37" s="12"/>
    </row>
    <row r="38" spans="2:9" ht="13.5" thickBot="1" x14ac:dyDescent="0.25">
      <c r="B38" s="190" t="s">
        <v>12</v>
      </c>
      <c r="C38" s="191" t="s">
        <v>3</v>
      </c>
      <c r="D38" s="192">
        <v>7.3019781129126669</v>
      </c>
      <c r="E38" s="189"/>
      <c r="F38" s="175" t="s">
        <v>196</v>
      </c>
      <c r="G38" s="176">
        <v>15</v>
      </c>
      <c r="H38" s="50"/>
      <c r="I38" s="12"/>
    </row>
    <row r="39" spans="2:9" x14ac:dyDescent="0.2">
      <c r="I39" s="12"/>
    </row>
    <row r="41" spans="2:9" x14ac:dyDescent="0.2">
      <c r="F41" s="15"/>
      <c r="G41" s="15"/>
    </row>
    <row r="42" spans="2:9" x14ac:dyDescent="0.2">
      <c r="F42" s="15"/>
      <c r="G42" s="15"/>
    </row>
    <row r="43" spans="2:9" x14ac:dyDescent="0.2">
      <c r="E43" s="13"/>
      <c r="G43" s="15"/>
    </row>
    <row r="44" spans="2:9" x14ac:dyDescent="0.2">
      <c r="B44" s="9"/>
      <c r="C44" s="15"/>
      <c r="E44" s="15"/>
      <c r="F44" s="15"/>
      <c r="G44" s="15"/>
    </row>
    <row r="45" spans="2:9" s="14" customFormat="1" x14ac:dyDescent="0.2"/>
  </sheetData>
  <sheetProtection algorithmName="SHA-512" hashValue="Y5JTYVCjaTrbJH/66ub/0hNoLbNgG48kHM9s3qy0WF/LuxlGDnTPq5hYtUQERMXq+MYqLTrxQ/nu9S8Gtv3tSg==" saltValue="2kHwekmk+DPQNA4xCYRNXA==" spinCount="100000" sheet="1" objects="1" scenarios="1" selectLockedCells="1"/>
  <phoneticPr fontId="2" type="noConversion"/>
  <pageMargins left="0.78740157499999996" right="0.78740157499999996" top="0.984251969" bottom="0.984251969" header="0.5" footer="0.5"/>
  <pageSetup paperSize="9" scale="59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7">
    <tabColor indexed="47"/>
    <pageSetUpPr fitToPage="1"/>
  </sheetPr>
  <dimension ref="A1:C36"/>
  <sheetViews>
    <sheetView workbookViewId="0">
      <selection activeCell="B8" sqref="B8"/>
    </sheetView>
  </sheetViews>
  <sheetFormatPr baseColWidth="10" defaultRowHeight="12.75" x14ac:dyDescent="0.2"/>
  <cols>
    <col min="1" max="1" width="53" style="60" customWidth="1"/>
    <col min="2" max="2" width="12.28515625" style="60" customWidth="1"/>
    <col min="3" max="16384" width="11.42578125" style="60"/>
  </cols>
  <sheetData>
    <row r="1" spans="1:3" ht="13.5" thickBot="1" x14ac:dyDescent="0.25">
      <c r="A1" s="58" t="s">
        <v>42</v>
      </c>
    </row>
    <row r="2" spans="1:3" x14ac:dyDescent="0.2">
      <c r="A2" s="61" t="s">
        <v>156</v>
      </c>
      <c r="B2" s="62"/>
      <c r="C2" s="63"/>
    </row>
    <row r="3" spans="1:3" x14ac:dyDescent="0.2">
      <c r="A3" s="65" t="s">
        <v>188</v>
      </c>
      <c r="B3" s="66">
        <f>Analyseperiode</f>
        <v>40</v>
      </c>
      <c r="C3" s="67" t="s">
        <v>104</v>
      </c>
    </row>
    <row r="4" spans="1:3" x14ac:dyDescent="0.2">
      <c r="A4" s="65" t="s">
        <v>189</v>
      </c>
      <c r="B4" s="68"/>
      <c r="C4" s="64"/>
    </row>
    <row r="5" spans="1:3" ht="13.5" thickBot="1" x14ac:dyDescent="0.25">
      <c r="A5" s="70" t="s">
        <v>215</v>
      </c>
      <c r="B5" s="71"/>
      <c r="C5" s="72"/>
    </row>
    <row r="6" spans="1:3" x14ac:dyDescent="0.2">
      <c r="A6" s="73"/>
      <c r="B6" s="74"/>
      <c r="C6" s="75"/>
    </row>
    <row r="7" spans="1:3" x14ac:dyDescent="0.2">
      <c r="A7" s="58" t="s">
        <v>13</v>
      </c>
      <c r="B7" s="59"/>
    </row>
    <row r="8" spans="1:3" x14ac:dyDescent="0.2">
      <c r="A8" s="96" t="s">
        <v>36</v>
      </c>
      <c r="B8" s="77" t="s">
        <v>40</v>
      </c>
    </row>
    <row r="9" spans="1:3" x14ac:dyDescent="0.2">
      <c r="A9" s="95" t="s">
        <v>217</v>
      </c>
      <c r="B9" s="77" t="s">
        <v>40</v>
      </c>
    </row>
    <row r="10" spans="1:3" x14ac:dyDescent="0.2">
      <c r="A10" s="95" t="s">
        <v>228</v>
      </c>
      <c r="B10" s="79">
        <v>0</v>
      </c>
    </row>
    <row r="11" spans="1:3" x14ac:dyDescent="0.2">
      <c r="A11" s="96" t="s">
        <v>37</v>
      </c>
      <c r="B11" s="80">
        <f>Forutsetninger!G29</f>
        <v>20</v>
      </c>
    </row>
    <row r="12" spans="1:3" x14ac:dyDescent="0.2">
      <c r="A12" s="95" t="s">
        <v>283</v>
      </c>
      <c r="B12" s="77" t="s">
        <v>40</v>
      </c>
    </row>
    <row r="13" spans="1:3" x14ac:dyDescent="0.2">
      <c r="B13" s="59"/>
    </row>
    <row r="14" spans="1:3" hidden="1" x14ac:dyDescent="0.2">
      <c r="A14" s="81" t="s">
        <v>111</v>
      </c>
      <c r="B14" s="82">
        <f>INT(Analyseperiode/B11)+1</f>
        <v>3</v>
      </c>
    </row>
    <row r="15" spans="1:3" hidden="1" x14ac:dyDescent="0.2">
      <c r="A15" s="81" t="s">
        <v>140</v>
      </c>
      <c r="B15" s="83">
        <f>(1-((1+Drente)^(-B11*B14)))/(1-((1+Drente)^(-B11)))+((Analyseperiode-(B11*B14))/(B11*((1+Drente)^Analyseperiode)))</f>
        <v>1.4563869462012919</v>
      </c>
    </row>
    <row r="16" spans="1:3" x14ac:dyDescent="0.2">
      <c r="A16" s="73"/>
      <c r="B16" s="84"/>
    </row>
    <row r="17" spans="1:3" x14ac:dyDescent="0.2">
      <c r="A17" s="58" t="s">
        <v>143</v>
      </c>
      <c r="B17" s="59"/>
    </row>
    <row r="18" spans="1:3" x14ac:dyDescent="0.2">
      <c r="A18" s="95" t="s">
        <v>10</v>
      </c>
      <c r="B18" s="100" t="e">
        <f>B12*Forutsetninger!D31</f>
        <v>#VALUE!</v>
      </c>
    </row>
    <row r="19" spans="1:3" x14ac:dyDescent="0.2">
      <c r="A19" s="96" t="s">
        <v>112</v>
      </c>
      <c r="B19" s="101">
        <v>0</v>
      </c>
    </row>
    <row r="20" spans="1:3" x14ac:dyDescent="0.2">
      <c r="A20" s="96" t="s">
        <v>14</v>
      </c>
      <c r="B20" s="101">
        <v>0</v>
      </c>
    </row>
    <row r="21" spans="1:3" x14ac:dyDescent="0.2">
      <c r="A21" s="96" t="s">
        <v>47</v>
      </c>
      <c r="B21" s="101" t="e">
        <f>SUM(B20,B19,B18)</f>
        <v>#VALUE!</v>
      </c>
    </row>
    <row r="22" spans="1:3" x14ac:dyDescent="0.2">
      <c r="A22" s="96" t="s">
        <v>171</v>
      </c>
      <c r="B22" s="101" t="e">
        <f>B18*Afaktor_vekst</f>
        <v>#VALUE!</v>
      </c>
    </row>
    <row r="23" spans="1:3" x14ac:dyDescent="0.2">
      <c r="A23" s="96" t="s">
        <v>172</v>
      </c>
      <c r="B23" s="101">
        <f>B19*Afaktor_vekst</f>
        <v>0</v>
      </c>
    </row>
    <row r="24" spans="1:3" x14ac:dyDescent="0.2">
      <c r="A24" s="96" t="s">
        <v>173</v>
      </c>
      <c r="B24" s="101">
        <f>B20*Afaktor_vekst</f>
        <v>0</v>
      </c>
      <c r="C24" s="75"/>
    </row>
    <row r="25" spans="1:3" x14ac:dyDescent="0.2">
      <c r="A25" s="96" t="s">
        <v>254</v>
      </c>
      <c r="B25" s="101" t="e">
        <f>B21*Afaktor_vekst</f>
        <v>#VALUE!</v>
      </c>
      <c r="C25" s="99"/>
    </row>
    <row r="26" spans="1:3" x14ac:dyDescent="0.2">
      <c r="C26" s="99"/>
    </row>
    <row r="27" spans="1:3" x14ac:dyDescent="0.2">
      <c r="A27" s="88" t="s">
        <v>144</v>
      </c>
    </row>
    <row r="28" spans="1:3" x14ac:dyDescent="0.2">
      <c r="A28" s="95" t="s">
        <v>142</v>
      </c>
      <c r="B28" s="101" t="e">
        <f>-B8*$B$15</f>
        <v>#VALUE!</v>
      </c>
      <c r="C28" s="89"/>
    </row>
    <row r="29" spans="1:3" x14ac:dyDescent="0.2">
      <c r="A29" s="96" t="s">
        <v>141</v>
      </c>
      <c r="B29" s="101" t="e">
        <f>-B9*Afaktor</f>
        <v>#VALUE!</v>
      </c>
      <c r="C29" s="89"/>
    </row>
    <row r="30" spans="1:3" x14ac:dyDescent="0.2">
      <c r="A30" s="95" t="s">
        <v>214</v>
      </c>
      <c r="B30" s="101" t="e">
        <f>B28+B29</f>
        <v>#VALUE!</v>
      </c>
    </row>
    <row r="31" spans="1:3" x14ac:dyDescent="0.2">
      <c r="A31" s="96" t="s">
        <v>174</v>
      </c>
      <c r="B31" s="101" t="e">
        <f>(1-B10)*B30*Skyggepris</f>
        <v>#VALUE!</v>
      </c>
    </row>
    <row r="32" spans="1:3" x14ac:dyDescent="0.2">
      <c r="A32" s="90"/>
      <c r="B32" s="90"/>
      <c r="C32" s="90"/>
    </row>
    <row r="33" spans="1:3" x14ac:dyDescent="0.2">
      <c r="A33" s="58" t="s">
        <v>7</v>
      </c>
      <c r="B33" s="59"/>
    </row>
    <row r="34" spans="1:3" x14ac:dyDescent="0.2">
      <c r="A34" s="96" t="s">
        <v>8</v>
      </c>
      <c r="B34" s="103" t="e">
        <f>B25+B30+B31</f>
        <v>#VALUE!</v>
      </c>
      <c r="C34" s="60" t="s">
        <v>175</v>
      </c>
    </row>
    <row r="35" spans="1:3" x14ac:dyDescent="0.2">
      <c r="B35" s="59"/>
    </row>
    <row r="36" spans="1:3" x14ac:dyDescent="0.2">
      <c r="A36" s="95" t="s">
        <v>178</v>
      </c>
      <c r="B36" s="104" t="e">
        <f>B34/-B30</f>
        <v>#VALUE!</v>
      </c>
      <c r="C36" s="60" t="s">
        <v>9</v>
      </c>
    </row>
  </sheetData>
  <sheetProtection algorithmName="SHA-512" hashValue="wLpGjRbF6T1+EgRUQdGLB8cREgxgQCbG2eq0Sfu8PkgGE8uINUMQXwbHfirV5dEDp5UgFahSg3w8zAUYwtIpyA==" saltValue="SUrc5kEFHn2Pi+u2zROd8Q==" spinCount="100000" sheet="1" objects="1" scenarios="1" selectLockedCells="1"/>
  <protectedRanges>
    <protectedRange sqref="B8:B12" name="Område1_1"/>
  </protectedRanges>
  <phoneticPr fontId="2" type="noConversion"/>
  <pageMargins left="0.78740157499999996" right="0.78740157499999996" top="0.984251969" bottom="0.984251969" header="0.5" footer="0.5"/>
  <pageSetup paperSize="9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9">
    <tabColor indexed="47"/>
    <pageSetUpPr fitToPage="1"/>
  </sheetPr>
  <dimension ref="A1:C36"/>
  <sheetViews>
    <sheetView workbookViewId="0">
      <selection activeCell="B8" sqref="B8"/>
    </sheetView>
  </sheetViews>
  <sheetFormatPr baseColWidth="10" defaultRowHeight="12.75" x14ac:dyDescent="0.2"/>
  <cols>
    <col min="1" max="1" width="46.5703125" style="60" customWidth="1"/>
    <col min="2" max="2" width="15.28515625" style="60" customWidth="1"/>
    <col min="3" max="16384" width="11.42578125" style="60"/>
  </cols>
  <sheetData>
    <row r="1" spans="1:3" ht="13.5" thickBot="1" x14ac:dyDescent="0.25">
      <c r="A1" s="58" t="s">
        <v>116</v>
      </c>
    </row>
    <row r="2" spans="1:3" x14ac:dyDescent="0.2">
      <c r="A2" s="61" t="s">
        <v>156</v>
      </c>
      <c r="B2" s="62"/>
      <c r="C2" s="63"/>
    </row>
    <row r="3" spans="1:3" x14ac:dyDescent="0.2">
      <c r="A3" s="65" t="s">
        <v>188</v>
      </c>
      <c r="B3" s="66">
        <f>Analyseperiode</f>
        <v>40</v>
      </c>
      <c r="C3" s="67" t="s">
        <v>104</v>
      </c>
    </row>
    <row r="4" spans="1:3" x14ac:dyDescent="0.2">
      <c r="A4" s="65" t="s">
        <v>189</v>
      </c>
      <c r="B4" s="68"/>
      <c r="C4" s="64"/>
    </row>
    <row r="5" spans="1:3" ht="13.5" thickBot="1" x14ac:dyDescent="0.25">
      <c r="A5" s="70" t="s">
        <v>215</v>
      </c>
      <c r="B5" s="71"/>
      <c r="C5" s="72"/>
    </row>
    <row r="6" spans="1:3" x14ac:dyDescent="0.2">
      <c r="A6" s="73"/>
      <c r="B6" s="74"/>
      <c r="C6" s="75"/>
    </row>
    <row r="7" spans="1:3" x14ac:dyDescent="0.2">
      <c r="A7" s="58" t="s">
        <v>13</v>
      </c>
      <c r="B7" s="59"/>
    </row>
    <row r="8" spans="1:3" x14ac:dyDescent="0.2">
      <c r="A8" s="95" t="s">
        <v>216</v>
      </c>
      <c r="B8" s="77" t="s">
        <v>40</v>
      </c>
    </row>
    <row r="9" spans="1:3" x14ac:dyDescent="0.2">
      <c r="A9" s="95" t="s">
        <v>217</v>
      </c>
      <c r="B9" s="77" t="s">
        <v>40</v>
      </c>
    </row>
    <row r="10" spans="1:3" x14ac:dyDescent="0.2">
      <c r="A10" s="96" t="s">
        <v>96</v>
      </c>
      <c r="B10" s="79">
        <v>0</v>
      </c>
    </row>
    <row r="11" spans="1:3" x14ac:dyDescent="0.2">
      <c r="A11" s="96" t="s">
        <v>37</v>
      </c>
      <c r="B11" s="80">
        <f>Forutsetninger!G30</f>
        <v>20</v>
      </c>
    </row>
    <row r="12" spans="1:3" x14ac:dyDescent="0.2">
      <c r="A12" s="95" t="s">
        <v>283</v>
      </c>
      <c r="B12" s="77" t="s">
        <v>40</v>
      </c>
      <c r="C12" s="60" t="s">
        <v>284</v>
      </c>
    </row>
    <row r="13" spans="1:3" x14ac:dyDescent="0.2">
      <c r="B13" s="59"/>
    </row>
    <row r="14" spans="1:3" hidden="1" x14ac:dyDescent="0.2">
      <c r="A14" s="81" t="s">
        <v>111</v>
      </c>
      <c r="B14" s="82">
        <f>INT(Analyseperiode/B11)+1</f>
        <v>3</v>
      </c>
    </row>
    <row r="15" spans="1:3" hidden="1" x14ac:dyDescent="0.2">
      <c r="A15" s="81" t="s">
        <v>140</v>
      </c>
      <c r="B15" s="83">
        <f>(1-((1+Drente)^(-B11*B14)))/(1-((1+Drente)^(-B11)))+((Analyseperiode-(B11*B14))/(B11*((1+Drente)^Analyseperiode)))</f>
        <v>1.4563869462012919</v>
      </c>
    </row>
    <row r="16" spans="1:3" x14ac:dyDescent="0.2">
      <c r="A16" s="73"/>
      <c r="B16" s="84"/>
    </row>
    <row r="17" spans="1:3" x14ac:dyDescent="0.2">
      <c r="A17" s="58" t="s">
        <v>143</v>
      </c>
      <c r="B17" s="59"/>
    </row>
    <row r="18" spans="1:3" x14ac:dyDescent="0.2">
      <c r="A18" s="95" t="s">
        <v>10</v>
      </c>
      <c r="B18" s="100" t="e">
        <f>B12*Forutsetninger!D33</f>
        <v>#VALUE!</v>
      </c>
    </row>
    <row r="19" spans="1:3" x14ac:dyDescent="0.2">
      <c r="A19" s="96" t="s">
        <v>112</v>
      </c>
      <c r="B19" s="101">
        <v>0</v>
      </c>
    </row>
    <row r="20" spans="1:3" x14ac:dyDescent="0.2">
      <c r="A20" s="96" t="s">
        <v>14</v>
      </c>
      <c r="B20" s="101">
        <v>0</v>
      </c>
    </row>
    <row r="21" spans="1:3" x14ac:dyDescent="0.2">
      <c r="A21" s="96" t="s">
        <v>47</v>
      </c>
      <c r="B21" s="101" t="e">
        <f>SUM(B20,B19,B18)</f>
        <v>#VALUE!</v>
      </c>
    </row>
    <row r="22" spans="1:3" x14ac:dyDescent="0.2">
      <c r="A22" s="96" t="s">
        <v>171</v>
      </c>
      <c r="B22" s="101" t="e">
        <f>B18*Afaktor_vekst</f>
        <v>#VALUE!</v>
      </c>
    </row>
    <row r="23" spans="1:3" x14ac:dyDescent="0.2">
      <c r="A23" s="96" t="s">
        <v>172</v>
      </c>
      <c r="B23" s="101">
        <f>B19*Afaktor_vekst</f>
        <v>0</v>
      </c>
    </row>
    <row r="24" spans="1:3" x14ac:dyDescent="0.2">
      <c r="A24" s="96" t="s">
        <v>173</v>
      </c>
      <c r="B24" s="101">
        <f>B20*Afaktor_vekst</f>
        <v>0</v>
      </c>
    </row>
    <row r="25" spans="1:3" x14ac:dyDescent="0.2">
      <c r="A25" s="96" t="s">
        <v>254</v>
      </c>
      <c r="B25" s="101" t="e">
        <f>B21*Afaktor_vekst</f>
        <v>#VALUE!</v>
      </c>
    </row>
    <row r="26" spans="1:3" x14ac:dyDescent="0.2">
      <c r="B26" s="87"/>
    </row>
    <row r="27" spans="1:3" x14ac:dyDescent="0.2">
      <c r="A27" s="88" t="s">
        <v>144</v>
      </c>
    </row>
    <row r="28" spans="1:3" x14ac:dyDescent="0.2">
      <c r="A28" s="95" t="s">
        <v>142</v>
      </c>
      <c r="B28" s="101" t="e">
        <f>-B8*$B$15</f>
        <v>#VALUE!</v>
      </c>
      <c r="C28" s="89"/>
    </row>
    <row r="29" spans="1:3" x14ac:dyDescent="0.2">
      <c r="A29" s="96" t="s">
        <v>141</v>
      </c>
      <c r="B29" s="101" t="e">
        <f>-B9*Afaktor</f>
        <v>#VALUE!</v>
      </c>
      <c r="C29" s="89"/>
    </row>
    <row r="30" spans="1:3" x14ac:dyDescent="0.2">
      <c r="A30" s="95" t="s">
        <v>214</v>
      </c>
      <c r="B30" s="101" t="e">
        <f>B28+B29</f>
        <v>#VALUE!</v>
      </c>
    </row>
    <row r="31" spans="1:3" x14ac:dyDescent="0.2">
      <c r="A31" s="96" t="s">
        <v>174</v>
      </c>
      <c r="B31" s="101" t="e">
        <f>(1-B10)*B30*Skyggepris</f>
        <v>#VALUE!</v>
      </c>
    </row>
    <row r="32" spans="1:3" x14ac:dyDescent="0.2">
      <c r="A32" s="90"/>
      <c r="B32" s="90"/>
      <c r="C32" s="90"/>
    </row>
    <row r="33" spans="1:3" x14ac:dyDescent="0.2">
      <c r="A33" s="58" t="s">
        <v>7</v>
      </c>
      <c r="B33" s="59"/>
    </row>
    <row r="34" spans="1:3" x14ac:dyDescent="0.2">
      <c r="A34" s="96" t="s">
        <v>8</v>
      </c>
      <c r="B34" s="103" t="e">
        <f>B25+B30+B31</f>
        <v>#VALUE!</v>
      </c>
      <c r="C34" s="60" t="s">
        <v>175</v>
      </c>
    </row>
    <row r="35" spans="1:3" x14ac:dyDescent="0.2">
      <c r="B35" s="59"/>
    </row>
    <row r="36" spans="1:3" x14ac:dyDescent="0.2">
      <c r="A36" s="95" t="s">
        <v>178</v>
      </c>
      <c r="B36" s="104" t="e">
        <f>B34/-B30</f>
        <v>#VALUE!</v>
      </c>
      <c r="C36" s="60" t="s">
        <v>9</v>
      </c>
    </row>
  </sheetData>
  <sheetProtection algorithmName="SHA-512" hashValue="FMd8tPYM/wRj/pI/jr6a2OEan8zN8AC6khSbFfVX9+rjqxDhCUb3mLwFH4i0KX53Y3XFwb3ULBMLlTLknBm16A==" saltValue="R2mC6dtN9vQ0Aj81rAwwag==" spinCount="100000" sheet="1" objects="1" scenarios="1" selectLockedCells="1"/>
  <protectedRanges>
    <protectedRange sqref="B8:B12" name="Område1_1"/>
  </protectedRanges>
  <phoneticPr fontId="2" type="noConversion"/>
  <pageMargins left="0.78740157499999996" right="0.78740157499999996" top="0.984251969" bottom="0.984251969" header="0.5" footer="0.5"/>
  <pageSetup paperSize="9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8">
    <tabColor indexed="47"/>
    <pageSetUpPr fitToPage="1"/>
  </sheetPr>
  <dimension ref="A1:C29"/>
  <sheetViews>
    <sheetView workbookViewId="0">
      <selection activeCell="B8" sqref="B8"/>
    </sheetView>
  </sheetViews>
  <sheetFormatPr baseColWidth="10" defaultRowHeight="12.75" x14ac:dyDescent="0.2"/>
  <cols>
    <col min="1" max="1" width="46.5703125" style="60" customWidth="1"/>
    <col min="2" max="2" width="15.28515625" style="60" customWidth="1"/>
    <col min="3" max="16384" width="11.42578125" style="60"/>
  </cols>
  <sheetData>
    <row r="1" spans="1:3" ht="13.5" thickBot="1" x14ac:dyDescent="0.25">
      <c r="A1" s="58" t="s">
        <v>43</v>
      </c>
    </row>
    <row r="2" spans="1:3" x14ac:dyDescent="0.2">
      <c r="A2" s="61" t="s">
        <v>156</v>
      </c>
      <c r="B2" s="62"/>
      <c r="C2" s="63"/>
    </row>
    <row r="3" spans="1:3" x14ac:dyDescent="0.2">
      <c r="A3" s="65" t="s">
        <v>188</v>
      </c>
      <c r="B3" s="66">
        <f>Analyseperiode</f>
        <v>40</v>
      </c>
      <c r="C3" s="67" t="s">
        <v>104</v>
      </c>
    </row>
    <row r="4" spans="1:3" x14ac:dyDescent="0.2">
      <c r="A4" s="65" t="s">
        <v>189</v>
      </c>
      <c r="B4" s="68"/>
      <c r="C4" s="64"/>
    </row>
    <row r="5" spans="1:3" ht="13.5" thickBot="1" x14ac:dyDescent="0.25">
      <c r="A5" s="70" t="s">
        <v>215</v>
      </c>
      <c r="B5" s="71"/>
      <c r="C5" s="72"/>
    </row>
    <row r="6" spans="1:3" x14ac:dyDescent="0.2">
      <c r="A6" s="73"/>
      <c r="B6" s="74"/>
      <c r="C6" s="75"/>
    </row>
    <row r="7" spans="1:3" x14ac:dyDescent="0.2">
      <c r="A7" s="58" t="s">
        <v>13</v>
      </c>
      <c r="B7" s="59"/>
    </row>
    <row r="8" spans="1:3" x14ac:dyDescent="0.2">
      <c r="A8" s="95" t="s">
        <v>229</v>
      </c>
      <c r="B8" s="77" t="s">
        <v>40</v>
      </c>
    </row>
    <row r="9" spans="1:3" x14ac:dyDescent="0.2">
      <c r="A9" s="96" t="s">
        <v>96</v>
      </c>
      <c r="B9" s="79">
        <v>0</v>
      </c>
    </row>
    <row r="10" spans="1:3" x14ac:dyDescent="0.2">
      <c r="A10" s="95" t="s">
        <v>286</v>
      </c>
      <c r="B10" s="77" t="s">
        <v>40</v>
      </c>
      <c r="C10" s="60" t="s">
        <v>285</v>
      </c>
    </row>
    <row r="11" spans="1:3" x14ac:dyDescent="0.2">
      <c r="B11" s="59"/>
    </row>
    <row r="12" spans="1:3" x14ac:dyDescent="0.2">
      <c r="A12" s="58" t="s">
        <v>143</v>
      </c>
      <c r="B12" s="59"/>
    </row>
    <row r="13" spans="1:3" x14ac:dyDescent="0.2">
      <c r="A13" s="95" t="s">
        <v>10</v>
      </c>
      <c r="B13" s="100" t="e">
        <f>B10*Forutsetninger!D32</f>
        <v>#VALUE!</v>
      </c>
    </row>
    <row r="14" spans="1:3" x14ac:dyDescent="0.2">
      <c r="A14" s="96" t="s">
        <v>112</v>
      </c>
      <c r="B14" s="101">
        <v>0</v>
      </c>
    </row>
    <row r="15" spans="1:3" x14ac:dyDescent="0.2">
      <c r="A15" s="96" t="s">
        <v>14</v>
      </c>
      <c r="B15" s="101">
        <v>0</v>
      </c>
    </row>
    <row r="16" spans="1:3" x14ac:dyDescent="0.2">
      <c r="A16" s="96" t="s">
        <v>47</v>
      </c>
      <c r="B16" s="101" t="e">
        <f>SUM(B15,B14,B13)</f>
        <v>#VALUE!</v>
      </c>
    </row>
    <row r="17" spans="1:3" x14ac:dyDescent="0.2">
      <c r="A17" s="96" t="s">
        <v>171</v>
      </c>
      <c r="B17" s="101" t="e">
        <f>B13*Afaktor_vekst</f>
        <v>#VALUE!</v>
      </c>
    </row>
    <row r="18" spans="1:3" x14ac:dyDescent="0.2">
      <c r="A18" s="96" t="s">
        <v>172</v>
      </c>
      <c r="B18" s="101">
        <f>B14*Afaktor_vekst</f>
        <v>0</v>
      </c>
    </row>
    <row r="19" spans="1:3" x14ac:dyDescent="0.2">
      <c r="A19" s="96" t="s">
        <v>173</v>
      </c>
      <c r="B19" s="101">
        <f>B15*Afaktor_vekst</f>
        <v>0</v>
      </c>
    </row>
    <row r="20" spans="1:3" x14ac:dyDescent="0.2">
      <c r="A20" s="96" t="s">
        <v>254</v>
      </c>
      <c r="B20" s="101" t="e">
        <f>B16*Afaktor_vekst</f>
        <v>#VALUE!</v>
      </c>
    </row>
    <row r="21" spans="1:3" x14ac:dyDescent="0.2">
      <c r="B21" s="87"/>
    </row>
    <row r="22" spans="1:3" x14ac:dyDescent="0.2">
      <c r="A22" s="88" t="s">
        <v>144</v>
      </c>
    </row>
    <row r="23" spans="1:3" x14ac:dyDescent="0.2">
      <c r="A23" s="95" t="s">
        <v>266</v>
      </c>
      <c r="B23" s="101" t="e">
        <f>-B8*Afaktor</f>
        <v>#VALUE!</v>
      </c>
    </row>
    <row r="24" spans="1:3" x14ac:dyDescent="0.2">
      <c r="A24" s="96" t="s">
        <v>174</v>
      </c>
      <c r="B24" s="101" t="e">
        <f>(1-B9)*B23*Skyggepris</f>
        <v>#VALUE!</v>
      </c>
    </row>
    <row r="25" spans="1:3" x14ac:dyDescent="0.2">
      <c r="A25" s="90"/>
      <c r="B25" s="90"/>
      <c r="C25" s="90"/>
    </row>
    <row r="26" spans="1:3" x14ac:dyDescent="0.2">
      <c r="A26" s="58" t="s">
        <v>7</v>
      </c>
      <c r="B26" s="59"/>
    </row>
    <row r="27" spans="1:3" x14ac:dyDescent="0.2">
      <c r="A27" s="96" t="s">
        <v>8</v>
      </c>
      <c r="B27" s="103" t="e">
        <f>B20+B23+B24</f>
        <v>#VALUE!</v>
      </c>
      <c r="C27" s="60" t="s">
        <v>175</v>
      </c>
    </row>
    <row r="28" spans="1:3" x14ac:dyDescent="0.2">
      <c r="B28" s="59"/>
    </row>
    <row r="29" spans="1:3" x14ac:dyDescent="0.2">
      <c r="A29" s="95" t="s">
        <v>178</v>
      </c>
      <c r="B29" s="104" t="e">
        <f>B27/-B23</f>
        <v>#VALUE!</v>
      </c>
      <c r="C29" s="60" t="s">
        <v>9</v>
      </c>
    </row>
  </sheetData>
  <sheetProtection algorithmName="SHA-512" hashValue="i2v7BCZ0jLFh3UrEslJAjpyUr/cq2G7kUD5JUO8COyIPjuJd8VCpimpG4MetwT+f4G12Ks0ZMazgUdKK+hu/mQ==" saltValue="al7MfHxHqDp07kVbX//6hQ==" spinCount="100000" sheet="1" objects="1" scenarios="1" selectLockedCells="1"/>
  <protectedRanges>
    <protectedRange sqref="B8:B10" name="Område1_1"/>
  </protectedRanges>
  <phoneticPr fontId="2" type="noConversion"/>
  <pageMargins left="0.78740157499999996" right="0.78740157499999996" top="0.984251969" bottom="0.984251969" header="0.5" footer="0.5"/>
  <pageSetup paperSize="9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6">
    <tabColor indexed="45"/>
    <pageSetUpPr fitToPage="1"/>
  </sheetPr>
  <dimension ref="A1:H37"/>
  <sheetViews>
    <sheetView workbookViewId="0">
      <selection activeCell="B8" sqref="B8"/>
    </sheetView>
  </sheetViews>
  <sheetFormatPr baseColWidth="10" defaultRowHeight="12.75" x14ac:dyDescent="0.2"/>
  <cols>
    <col min="1" max="1" width="50.7109375" style="60" customWidth="1"/>
    <col min="2" max="2" width="15.28515625" style="60" customWidth="1"/>
    <col min="3" max="16384" width="11.42578125" style="60"/>
  </cols>
  <sheetData>
    <row r="1" spans="1:8" ht="13.5" thickBot="1" x14ac:dyDescent="0.25">
      <c r="A1" s="58" t="s">
        <v>91</v>
      </c>
    </row>
    <row r="2" spans="1:8" x14ac:dyDescent="0.2">
      <c r="A2" s="61" t="s">
        <v>156</v>
      </c>
      <c r="B2" s="62"/>
      <c r="C2" s="63"/>
    </row>
    <row r="3" spans="1:8" x14ac:dyDescent="0.2">
      <c r="A3" s="65" t="s">
        <v>188</v>
      </c>
      <c r="B3" s="66">
        <f>Analyseperiode</f>
        <v>40</v>
      </c>
      <c r="C3" s="67" t="s">
        <v>104</v>
      </c>
    </row>
    <row r="4" spans="1:8" x14ac:dyDescent="0.2">
      <c r="A4" s="65" t="s">
        <v>189</v>
      </c>
      <c r="B4" s="68"/>
      <c r="C4" s="64"/>
    </row>
    <row r="5" spans="1:8" ht="13.5" thickBot="1" x14ac:dyDescent="0.25">
      <c r="A5" s="70" t="s">
        <v>215</v>
      </c>
      <c r="B5" s="71"/>
      <c r="C5" s="72"/>
    </row>
    <row r="6" spans="1:8" x14ac:dyDescent="0.2">
      <c r="A6" s="73"/>
      <c r="B6" s="74"/>
      <c r="C6" s="75"/>
    </row>
    <row r="7" spans="1:8" x14ac:dyDescent="0.2">
      <c r="A7" s="58" t="s">
        <v>13</v>
      </c>
      <c r="B7" s="59"/>
    </row>
    <row r="8" spans="1:8" x14ac:dyDescent="0.2">
      <c r="A8" s="95" t="s">
        <v>267</v>
      </c>
      <c r="B8" s="77" t="s">
        <v>40</v>
      </c>
      <c r="H8" s="58"/>
    </row>
    <row r="9" spans="1:8" x14ac:dyDescent="0.2">
      <c r="A9" s="95" t="s">
        <v>166</v>
      </c>
      <c r="B9" s="116" t="s">
        <v>40</v>
      </c>
    </row>
    <row r="10" spans="1:8" x14ac:dyDescent="0.2">
      <c r="A10" s="95" t="s">
        <v>167</v>
      </c>
      <c r="B10" s="116" t="s">
        <v>40</v>
      </c>
    </row>
    <row r="11" spans="1:8" x14ac:dyDescent="0.2">
      <c r="A11" s="96" t="s">
        <v>96</v>
      </c>
      <c r="B11" s="79">
        <v>0</v>
      </c>
    </row>
    <row r="12" spans="1:8" x14ac:dyDescent="0.2">
      <c r="A12" s="95" t="s">
        <v>165</v>
      </c>
      <c r="B12" s="80">
        <v>10</v>
      </c>
    </row>
    <row r="13" spans="1:8" x14ac:dyDescent="0.2">
      <c r="A13" s="95" t="s">
        <v>168</v>
      </c>
      <c r="B13" s="77" t="s">
        <v>40</v>
      </c>
      <c r="C13" s="60" t="s">
        <v>287</v>
      </c>
    </row>
    <row r="15" spans="1:8" hidden="1" x14ac:dyDescent="0.2"/>
    <row r="16" spans="1:8" hidden="1" x14ac:dyDescent="0.2">
      <c r="A16" s="81" t="s">
        <v>111</v>
      </c>
      <c r="B16" s="82">
        <f>INT(Analyseperiode/B12)+1</f>
        <v>5</v>
      </c>
    </row>
    <row r="17" spans="1:2" hidden="1" x14ac:dyDescent="0.2">
      <c r="A17" s="81" t="s">
        <v>140</v>
      </c>
      <c r="B17" s="83">
        <f>(1-((1+Drente)^(-B12*B16)))/(1-((1+Drente)^(-B12)))+((Analyseperiode-(B12*B16))/(B12*((1+Drente)^Analyseperiode)))</f>
        <v>2.4402697830005105</v>
      </c>
    </row>
    <row r="18" spans="1:2" x14ac:dyDescent="0.2">
      <c r="A18" s="73"/>
      <c r="B18" s="84"/>
    </row>
    <row r="19" spans="1:2" x14ac:dyDescent="0.2">
      <c r="A19" s="58" t="s">
        <v>143</v>
      </c>
      <c r="B19" s="59"/>
    </row>
    <row r="20" spans="1:2" x14ac:dyDescent="0.2">
      <c r="A20" s="95" t="s">
        <v>10</v>
      </c>
      <c r="B20" s="100" t="e">
        <f>0.5*B13*Forutsetninger!D30</f>
        <v>#VALUE!</v>
      </c>
    </row>
    <row r="21" spans="1:2" x14ac:dyDescent="0.2">
      <c r="A21" s="96" t="s">
        <v>112</v>
      </c>
      <c r="B21" s="101">
        <v>0</v>
      </c>
    </row>
    <row r="22" spans="1:2" x14ac:dyDescent="0.2">
      <c r="A22" s="96" t="s">
        <v>14</v>
      </c>
      <c r="B22" s="101">
        <v>0</v>
      </c>
    </row>
    <row r="23" spans="1:2" x14ac:dyDescent="0.2">
      <c r="A23" s="96" t="s">
        <v>47</v>
      </c>
      <c r="B23" s="101" t="e">
        <f>SUM(B22,B21,B20)</f>
        <v>#VALUE!</v>
      </c>
    </row>
    <row r="24" spans="1:2" x14ac:dyDescent="0.2">
      <c r="A24" s="96" t="s">
        <v>171</v>
      </c>
      <c r="B24" s="101" t="e">
        <f>B20*Afaktor_vekst</f>
        <v>#VALUE!</v>
      </c>
    </row>
    <row r="25" spans="1:2" x14ac:dyDescent="0.2">
      <c r="A25" s="96" t="s">
        <v>172</v>
      </c>
      <c r="B25" s="101">
        <f>B21*Afaktor_vekst</f>
        <v>0</v>
      </c>
    </row>
    <row r="26" spans="1:2" x14ac:dyDescent="0.2">
      <c r="A26" s="96" t="s">
        <v>173</v>
      </c>
      <c r="B26" s="101">
        <f>B22*Afaktor_vekst</f>
        <v>0</v>
      </c>
    </row>
    <row r="27" spans="1:2" x14ac:dyDescent="0.2">
      <c r="A27" s="96" t="s">
        <v>254</v>
      </c>
      <c r="B27" s="101" t="e">
        <f>B23*Afaktor_vekst</f>
        <v>#VALUE!</v>
      </c>
    </row>
    <row r="28" spans="1:2" x14ac:dyDescent="0.2">
      <c r="B28" s="87"/>
    </row>
    <row r="29" spans="1:2" x14ac:dyDescent="0.2">
      <c r="A29" s="88" t="s">
        <v>144</v>
      </c>
    </row>
    <row r="30" spans="1:2" x14ac:dyDescent="0.2">
      <c r="A30" s="95" t="s">
        <v>95</v>
      </c>
      <c r="B30" s="100" t="e">
        <f>B9*B10*360</f>
        <v>#VALUE!</v>
      </c>
    </row>
    <row r="31" spans="1:2" x14ac:dyDescent="0.2">
      <c r="A31" s="95" t="s">
        <v>266</v>
      </c>
      <c r="B31" s="101" t="e">
        <f>-B30*Afaktor</f>
        <v>#VALUE!</v>
      </c>
    </row>
    <row r="32" spans="1:2" x14ac:dyDescent="0.2">
      <c r="A32" s="96" t="s">
        <v>174</v>
      </c>
      <c r="B32" s="101" t="e">
        <f>(1-B11)*B31*Skyggepris</f>
        <v>#VALUE!</v>
      </c>
    </row>
    <row r="33" spans="1:3" x14ac:dyDescent="0.2">
      <c r="A33" s="90"/>
      <c r="B33" s="90"/>
      <c r="C33" s="90"/>
    </row>
    <row r="34" spans="1:3" x14ac:dyDescent="0.2">
      <c r="A34" s="58" t="s">
        <v>7</v>
      </c>
      <c r="B34" s="59"/>
    </row>
    <row r="35" spans="1:3" x14ac:dyDescent="0.2">
      <c r="A35" s="96" t="s">
        <v>8</v>
      </c>
      <c r="B35" s="103" t="e">
        <f>B27+B31+B32</f>
        <v>#VALUE!</v>
      </c>
      <c r="C35" s="60" t="s">
        <v>175</v>
      </c>
    </row>
    <row r="36" spans="1:3" x14ac:dyDescent="0.2">
      <c r="B36" s="59"/>
    </row>
    <row r="37" spans="1:3" x14ac:dyDescent="0.2">
      <c r="A37" s="95" t="s">
        <v>178</v>
      </c>
      <c r="B37" s="104" t="e">
        <f>B35/-B31</f>
        <v>#VALUE!</v>
      </c>
      <c r="C37" s="60" t="s">
        <v>9</v>
      </c>
    </row>
  </sheetData>
  <sheetProtection algorithmName="SHA-512" hashValue="7gqEBL8clbSoph2xPa6Clf3/YBY6xmZsVirGYEieIY2s8spD5v0zvM653TRXhbX7tYoU88MKYbMOCOVaA740tg==" saltValue="UglKjUTwDr0zzCn0GEGRoA==" spinCount="100000" sheet="1" objects="1" scenarios="1" selectLockedCells="1"/>
  <protectedRanges>
    <protectedRange sqref="B30 B11:B13 B8" name="Område1_1"/>
  </protectedRanges>
  <phoneticPr fontId="2" type="noConversion"/>
  <pageMargins left="0.78740157499999996" right="0.78740157499999996" top="0.984251969" bottom="0.984251969" header="0.5" footer="0.5"/>
  <pageSetup paperSize="9" scale="95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0">
    <tabColor indexed="45"/>
    <pageSetUpPr fitToPage="1"/>
  </sheetPr>
  <dimension ref="A1:E40"/>
  <sheetViews>
    <sheetView workbookViewId="0">
      <selection activeCell="B8" sqref="B8"/>
    </sheetView>
  </sheetViews>
  <sheetFormatPr baseColWidth="10" defaultRowHeight="12.75" x14ac:dyDescent="0.2"/>
  <cols>
    <col min="1" max="1" width="46.5703125" style="60" customWidth="1"/>
    <col min="2" max="2" width="15.28515625" style="60" customWidth="1"/>
    <col min="3" max="16384" width="11.42578125" style="60"/>
  </cols>
  <sheetData>
    <row r="1" spans="1:5" ht="13.5" thickBot="1" x14ac:dyDescent="0.25">
      <c r="A1" s="58" t="s">
        <v>193</v>
      </c>
    </row>
    <row r="2" spans="1:5" x14ac:dyDescent="0.2">
      <c r="A2" s="61" t="s">
        <v>156</v>
      </c>
      <c r="B2" s="62"/>
      <c r="C2" s="63"/>
    </row>
    <row r="3" spans="1:5" x14ac:dyDescent="0.2">
      <c r="A3" s="65" t="s">
        <v>188</v>
      </c>
      <c r="B3" s="66">
        <f>Analyseperiode</f>
        <v>40</v>
      </c>
      <c r="C3" s="67" t="s">
        <v>104</v>
      </c>
    </row>
    <row r="4" spans="1:5" x14ac:dyDescent="0.2">
      <c r="A4" s="65" t="s">
        <v>189</v>
      </c>
      <c r="B4" s="68"/>
      <c r="C4" s="64"/>
    </row>
    <row r="5" spans="1:5" ht="13.5" thickBot="1" x14ac:dyDescent="0.25">
      <c r="A5" s="70" t="s">
        <v>215</v>
      </c>
      <c r="B5" s="71"/>
      <c r="C5" s="72"/>
    </row>
    <row r="6" spans="1:5" x14ac:dyDescent="0.2">
      <c r="A6" s="73"/>
      <c r="B6" s="74"/>
      <c r="C6" s="75"/>
    </row>
    <row r="7" spans="1:5" x14ac:dyDescent="0.2">
      <c r="A7" s="58" t="s">
        <v>13</v>
      </c>
      <c r="B7" s="59"/>
    </row>
    <row r="8" spans="1:5" x14ac:dyDescent="0.2">
      <c r="A8" s="95" t="s">
        <v>216</v>
      </c>
      <c r="B8" s="105" t="s">
        <v>40</v>
      </c>
    </row>
    <row r="9" spans="1:5" x14ac:dyDescent="0.2">
      <c r="A9" s="95" t="s">
        <v>217</v>
      </c>
      <c r="B9" s="105" t="s">
        <v>40</v>
      </c>
    </row>
    <row r="10" spans="1:5" x14ac:dyDescent="0.2">
      <c r="A10" s="96" t="s">
        <v>96</v>
      </c>
      <c r="B10" s="79" t="s">
        <v>40</v>
      </c>
    </row>
    <row r="11" spans="1:5" x14ac:dyDescent="0.2">
      <c r="A11" s="96" t="s">
        <v>37</v>
      </c>
      <c r="B11" s="80">
        <f>Forutsetninger!G31</f>
        <v>10</v>
      </c>
    </row>
    <row r="12" spans="1:5" x14ac:dyDescent="0.2">
      <c r="A12" s="95" t="s">
        <v>191</v>
      </c>
      <c r="B12" s="105" t="s">
        <v>40</v>
      </c>
      <c r="C12" s="60" t="s">
        <v>288</v>
      </c>
    </row>
    <row r="13" spans="1:5" x14ac:dyDescent="0.2">
      <c r="A13" s="96" t="s">
        <v>181</v>
      </c>
      <c r="B13" s="111" t="s">
        <v>40</v>
      </c>
    </row>
    <row r="14" spans="1:5" x14ac:dyDescent="0.2">
      <c r="A14" s="96" t="s">
        <v>182</v>
      </c>
      <c r="B14" s="111" t="s">
        <v>40</v>
      </c>
    </row>
    <row r="15" spans="1:5" x14ac:dyDescent="0.2">
      <c r="A15" s="96" t="s">
        <v>192</v>
      </c>
      <c r="B15" s="106">
        <v>1</v>
      </c>
      <c r="D15" s="59"/>
      <c r="E15" s="114"/>
    </row>
    <row r="16" spans="1:5" x14ac:dyDescent="0.2">
      <c r="B16" s="59"/>
      <c r="D16" s="115"/>
      <c r="E16" s="114"/>
    </row>
    <row r="17" spans="1:5" hidden="1" x14ac:dyDescent="0.2">
      <c r="B17" s="59"/>
      <c r="D17" s="115"/>
      <c r="E17" s="114"/>
    </row>
    <row r="18" spans="1:5" hidden="1" x14ac:dyDescent="0.2">
      <c r="A18" s="81" t="s">
        <v>111</v>
      </c>
      <c r="B18" s="82">
        <f>INT(Analyseperiode/B11)+1</f>
        <v>5</v>
      </c>
      <c r="D18" s="59"/>
      <c r="E18" s="114"/>
    </row>
    <row r="19" spans="1:5" hidden="1" x14ac:dyDescent="0.2">
      <c r="A19" s="81" t="s">
        <v>140</v>
      </c>
      <c r="B19" s="83">
        <f>(1-((1+Drente)^(-B11*B18)))/(1-((1+Drente)^(-B11)))+((Analyseperiode-(B11*B18))/(B11*((1+Drente)^Analyseperiode)))</f>
        <v>2.4402697830005105</v>
      </c>
    </row>
    <row r="20" spans="1:5" x14ac:dyDescent="0.2">
      <c r="A20" s="73"/>
      <c r="B20" s="84"/>
    </row>
    <row r="21" spans="1:5" x14ac:dyDescent="0.2">
      <c r="A21" s="58" t="s">
        <v>143</v>
      </c>
      <c r="B21" s="59"/>
    </row>
    <row r="22" spans="1:5" x14ac:dyDescent="0.2">
      <c r="A22" s="95" t="s">
        <v>10</v>
      </c>
      <c r="B22" s="100" t="e">
        <f>(B12*B15*Forutsetninger!D35)+(B12*(1-B15)*Forutsetninger!D34)+(B13*B14*Forutsetninger!D12)</f>
        <v>#VALUE!</v>
      </c>
    </row>
    <row r="23" spans="1:5" x14ac:dyDescent="0.2">
      <c r="A23" s="96" t="s">
        <v>112</v>
      </c>
      <c r="B23" s="101">
        <v>0</v>
      </c>
    </row>
    <row r="24" spans="1:5" x14ac:dyDescent="0.2">
      <c r="A24" s="96" t="s">
        <v>14</v>
      </c>
      <c r="B24" s="101" t="e">
        <f>B14*Forutsetninger!D38</f>
        <v>#VALUE!</v>
      </c>
    </row>
    <row r="25" spans="1:5" x14ac:dyDescent="0.2">
      <c r="A25" s="96" t="s">
        <v>47</v>
      </c>
      <c r="B25" s="101" t="e">
        <f>SUM(B24,B23,B22)</f>
        <v>#VALUE!</v>
      </c>
    </row>
    <row r="26" spans="1:5" x14ac:dyDescent="0.2">
      <c r="A26" s="96" t="s">
        <v>171</v>
      </c>
      <c r="B26" s="101" t="e">
        <f>B22*Afaktor_vekst</f>
        <v>#VALUE!</v>
      </c>
    </row>
    <row r="27" spans="1:5" x14ac:dyDescent="0.2">
      <c r="A27" s="96" t="s">
        <v>172</v>
      </c>
      <c r="B27" s="101">
        <f>B23*Afaktor_vekst</f>
        <v>0</v>
      </c>
    </row>
    <row r="28" spans="1:5" x14ac:dyDescent="0.2">
      <c r="A28" s="96" t="s">
        <v>173</v>
      </c>
      <c r="B28" s="101" t="e">
        <f>B24*Afaktor_vekst</f>
        <v>#VALUE!</v>
      </c>
    </row>
    <row r="29" spans="1:5" x14ac:dyDescent="0.2">
      <c r="A29" s="96" t="s">
        <v>254</v>
      </c>
      <c r="B29" s="101" t="e">
        <f>B25*Afaktor_vekst</f>
        <v>#VALUE!</v>
      </c>
    </row>
    <row r="30" spans="1:5" x14ac:dyDescent="0.2">
      <c r="B30" s="87"/>
    </row>
    <row r="31" spans="1:5" x14ac:dyDescent="0.2">
      <c r="A31" s="88" t="s">
        <v>144</v>
      </c>
    </row>
    <row r="32" spans="1:5" x14ac:dyDescent="0.2">
      <c r="A32" s="95" t="s">
        <v>142</v>
      </c>
      <c r="B32" s="101" t="e">
        <f>-B8*$B$19</f>
        <v>#VALUE!</v>
      </c>
      <c r="C32" s="89"/>
    </row>
    <row r="33" spans="1:3" x14ac:dyDescent="0.2">
      <c r="A33" s="96" t="s">
        <v>141</v>
      </c>
      <c r="B33" s="101" t="e">
        <f>-B9*Afaktor</f>
        <v>#VALUE!</v>
      </c>
      <c r="C33" s="89"/>
    </row>
    <row r="34" spans="1:3" x14ac:dyDescent="0.2">
      <c r="A34" s="95" t="s">
        <v>214</v>
      </c>
      <c r="B34" s="101" t="e">
        <f>B32+B33</f>
        <v>#VALUE!</v>
      </c>
    </row>
    <row r="35" spans="1:3" x14ac:dyDescent="0.2">
      <c r="A35" s="96" t="s">
        <v>174</v>
      </c>
      <c r="B35" s="101" t="e">
        <f>(1-B10)*B34*Skyggepris</f>
        <v>#VALUE!</v>
      </c>
    </row>
    <row r="36" spans="1:3" x14ac:dyDescent="0.2">
      <c r="A36" s="90"/>
      <c r="B36" s="90"/>
      <c r="C36" s="90"/>
    </row>
    <row r="37" spans="1:3" x14ac:dyDescent="0.2">
      <c r="A37" s="58" t="s">
        <v>7</v>
      </c>
      <c r="B37" s="59"/>
    </row>
    <row r="38" spans="1:3" x14ac:dyDescent="0.2">
      <c r="A38" s="96" t="s">
        <v>8</v>
      </c>
      <c r="B38" s="103" t="e">
        <f>B29+B34+B35</f>
        <v>#VALUE!</v>
      </c>
      <c r="C38" s="60" t="s">
        <v>175</v>
      </c>
    </row>
    <row r="39" spans="1:3" x14ac:dyDescent="0.2">
      <c r="B39" s="59"/>
    </row>
    <row r="40" spans="1:3" x14ac:dyDescent="0.2">
      <c r="A40" s="95" t="s">
        <v>178</v>
      </c>
      <c r="B40" s="104" t="e">
        <f>B38/-B34</f>
        <v>#VALUE!</v>
      </c>
      <c r="C40" s="60" t="s">
        <v>9</v>
      </c>
    </row>
  </sheetData>
  <sheetProtection algorithmName="SHA-512" hashValue="f5A5+SmiMqY+m5YbNpKmGFOdSda0ENKqV/HXByPsPykNB/MdHfyQP0MIZW9nRh6Cznxm631/BlgpVLbju6CA/Q==" saltValue="wDt1MRSzNYla1/2/QCyRUQ==" spinCount="100000" sheet="1" objects="1" scenarios="1" selectLockedCells="1"/>
  <protectedRanges>
    <protectedRange sqref="B8:B12" name="Område1_1"/>
  </protectedRanges>
  <phoneticPr fontId="2" type="noConversion"/>
  <pageMargins left="0.78740157499999996" right="0.78740157499999996" top="0.984251969" bottom="0.984251969" header="0.5" footer="0.5"/>
  <pageSetup paperSize="9" orientation="landscape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">
    <tabColor indexed="50"/>
    <pageSetUpPr fitToPage="1"/>
  </sheetPr>
  <dimension ref="A1:E40"/>
  <sheetViews>
    <sheetView workbookViewId="0">
      <selection activeCell="B8" sqref="B8"/>
    </sheetView>
  </sheetViews>
  <sheetFormatPr baseColWidth="10" defaultRowHeight="12.75" x14ac:dyDescent="0.2"/>
  <cols>
    <col min="1" max="1" width="46.5703125" style="60" customWidth="1"/>
    <col min="2" max="2" width="15.28515625" style="59" customWidth="1"/>
    <col min="3" max="6" width="11.42578125" style="60"/>
    <col min="7" max="7" width="11.85546875" style="60" customWidth="1"/>
    <col min="8" max="16384" width="11.42578125" style="60"/>
  </cols>
  <sheetData>
    <row r="1" spans="1:3" ht="13.5" thickBot="1" x14ac:dyDescent="0.25">
      <c r="A1" s="58" t="s">
        <v>108</v>
      </c>
    </row>
    <row r="2" spans="1:3" x14ac:dyDescent="0.2">
      <c r="A2" s="61" t="s">
        <v>156</v>
      </c>
      <c r="B2" s="62"/>
      <c r="C2" s="63"/>
    </row>
    <row r="3" spans="1:3" x14ac:dyDescent="0.2">
      <c r="A3" s="65" t="s">
        <v>188</v>
      </c>
      <c r="B3" s="66">
        <f>Analyseperiode</f>
        <v>40</v>
      </c>
      <c r="C3" s="67" t="s">
        <v>104</v>
      </c>
    </row>
    <row r="4" spans="1:3" x14ac:dyDescent="0.2">
      <c r="A4" s="65" t="s">
        <v>189</v>
      </c>
      <c r="B4" s="68"/>
      <c r="C4" s="64"/>
    </row>
    <row r="5" spans="1:3" ht="13.5" thickBot="1" x14ac:dyDescent="0.25">
      <c r="A5" s="70" t="s">
        <v>215</v>
      </c>
      <c r="B5" s="71"/>
      <c r="C5" s="72"/>
    </row>
    <row r="6" spans="1:3" x14ac:dyDescent="0.2">
      <c r="A6" s="73"/>
      <c r="B6" s="74"/>
      <c r="C6" s="75"/>
    </row>
    <row r="7" spans="1:3" x14ac:dyDescent="0.2">
      <c r="A7" s="58" t="s">
        <v>13</v>
      </c>
    </row>
    <row r="8" spans="1:3" x14ac:dyDescent="0.2">
      <c r="A8" s="95" t="s">
        <v>216</v>
      </c>
      <c r="B8" s="105" t="s">
        <v>40</v>
      </c>
    </row>
    <row r="9" spans="1:3" x14ac:dyDescent="0.2">
      <c r="A9" s="95" t="s">
        <v>217</v>
      </c>
      <c r="B9" s="105" t="s">
        <v>40</v>
      </c>
    </row>
    <row r="10" spans="1:3" x14ac:dyDescent="0.2">
      <c r="A10" s="96" t="s">
        <v>96</v>
      </c>
      <c r="B10" s="79">
        <v>0</v>
      </c>
    </row>
    <row r="11" spans="1:3" x14ac:dyDescent="0.2">
      <c r="A11" s="96" t="s">
        <v>37</v>
      </c>
      <c r="B11" s="80">
        <f>Forutsetninger!G12</f>
        <v>40</v>
      </c>
    </row>
    <row r="12" spans="1:3" x14ac:dyDescent="0.2">
      <c r="A12" s="95" t="s">
        <v>183</v>
      </c>
      <c r="B12" s="105" t="s">
        <v>40</v>
      </c>
      <c r="C12" s="60" t="s">
        <v>289</v>
      </c>
    </row>
    <row r="13" spans="1:3" x14ac:dyDescent="0.2">
      <c r="A13" s="112" t="s">
        <v>93</v>
      </c>
      <c r="B13" s="113">
        <v>12.5</v>
      </c>
    </row>
    <row r="14" spans="1:3" x14ac:dyDescent="0.2">
      <c r="A14" s="95" t="s">
        <v>39</v>
      </c>
      <c r="B14" s="113">
        <v>5</v>
      </c>
    </row>
    <row r="15" spans="1:3" x14ac:dyDescent="0.2">
      <c r="A15" s="96" t="s">
        <v>92</v>
      </c>
      <c r="B15" s="105" t="s">
        <v>40</v>
      </c>
    </row>
    <row r="16" spans="1:3" x14ac:dyDescent="0.2">
      <c r="A16" s="95" t="s">
        <v>230</v>
      </c>
      <c r="B16" s="105" t="s">
        <v>40</v>
      </c>
    </row>
    <row r="18" spans="1:5" hidden="1" x14ac:dyDescent="0.2">
      <c r="A18" s="81" t="s">
        <v>111</v>
      </c>
      <c r="B18" s="82">
        <f>INT(Analyseperiode/B11)+1</f>
        <v>2</v>
      </c>
    </row>
    <row r="19" spans="1:5" hidden="1" x14ac:dyDescent="0.2">
      <c r="A19" s="81" t="s">
        <v>140</v>
      </c>
      <c r="B19" s="83">
        <f>(1-((1+Drente)^(-B11*B18)))/(1-((1+Drente)^(-B11)))+((Analyseperiode-(B11*B18))/(B11*((1+Drente)^Analyseperiode)))</f>
        <v>1</v>
      </c>
    </row>
    <row r="20" spans="1:5" x14ac:dyDescent="0.2">
      <c r="A20" s="73"/>
      <c r="B20" s="84"/>
    </row>
    <row r="21" spans="1:5" x14ac:dyDescent="0.2">
      <c r="A21" s="58" t="s">
        <v>143</v>
      </c>
    </row>
    <row r="22" spans="1:5" x14ac:dyDescent="0.2">
      <c r="A22" s="95" t="s">
        <v>10</v>
      </c>
      <c r="B22" s="100" t="e">
        <f>(B14/60)*Forutsetninger!D12*B12</f>
        <v>#VALUE!</v>
      </c>
    </row>
    <row r="23" spans="1:5" x14ac:dyDescent="0.2">
      <c r="A23" s="96" t="s">
        <v>112</v>
      </c>
      <c r="B23" s="101" t="e">
        <f>-B15*B16*(B13/60)*Forutsetninger!D13</f>
        <v>#VALUE!</v>
      </c>
      <c r="D23" s="89"/>
      <c r="E23" s="89"/>
    </row>
    <row r="24" spans="1:5" x14ac:dyDescent="0.2">
      <c r="A24" s="96" t="s">
        <v>14</v>
      </c>
      <c r="B24" s="101" t="e">
        <f>B16*(B14/60)*Forutsetninger!D38</f>
        <v>#VALUE!</v>
      </c>
    </row>
    <row r="25" spans="1:5" x14ac:dyDescent="0.2">
      <c r="A25" s="96" t="s">
        <v>47</v>
      </c>
      <c r="B25" s="101" t="e">
        <f>SUM(B24,B23,B22)</f>
        <v>#VALUE!</v>
      </c>
    </row>
    <row r="26" spans="1:5" x14ac:dyDescent="0.2">
      <c r="A26" s="96" t="s">
        <v>171</v>
      </c>
      <c r="B26" s="101" t="e">
        <f>B22*Afaktor_vekst</f>
        <v>#VALUE!</v>
      </c>
    </row>
    <row r="27" spans="1:5" x14ac:dyDescent="0.2">
      <c r="A27" s="96" t="s">
        <v>172</v>
      </c>
      <c r="B27" s="101" t="e">
        <f>B23*Afaktor_vekst</f>
        <v>#VALUE!</v>
      </c>
    </row>
    <row r="28" spans="1:5" x14ac:dyDescent="0.2">
      <c r="A28" s="96" t="s">
        <v>173</v>
      </c>
      <c r="B28" s="101" t="e">
        <f>B24*Afaktor_vekst</f>
        <v>#VALUE!</v>
      </c>
    </row>
    <row r="29" spans="1:5" x14ac:dyDescent="0.2">
      <c r="A29" s="96" t="s">
        <v>254</v>
      </c>
      <c r="B29" s="101" t="e">
        <f>B25*Afaktor_vekst</f>
        <v>#VALUE!</v>
      </c>
    </row>
    <row r="30" spans="1:5" x14ac:dyDescent="0.2">
      <c r="B30" s="87"/>
    </row>
    <row r="31" spans="1:5" x14ac:dyDescent="0.2">
      <c r="A31" s="88" t="s">
        <v>144</v>
      </c>
      <c r="B31" s="60"/>
    </row>
    <row r="32" spans="1:5" x14ac:dyDescent="0.2">
      <c r="A32" s="95" t="s">
        <v>142</v>
      </c>
      <c r="B32" s="101" t="e">
        <f>-B8*$B$19</f>
        <v>#VALUE!</v>
      </c>
      <c r="C32" s="89"/>
    </row>
    <row r="33" spans="1:3" x14ac:dyDescent="0.2">
      <c r="A33" s="96" t="s">
        <v>141</v>
      </c>
      <c r="B33" s="101" t="e">
        <f>-B9*Afaktor</f>
        <v>#VALUE!</v>
      </c>
      <c r="C33" s="89"/>
    </row>
    <row r="34" spans="1:3" x14ac:dyDescent="0.2">
      <c r="A34" s="95" t="s">
        <v>214</v>
      </c>
      <c r="B34" s="101" t="e">
        <f>B32+B33</f>
        <v>#VALUE!</v>
      </c>
    </row>
    <row r="35" spans="1:3" x14ac:dyDescent="0.2">
      <c r="A35" s="96" t="s">
        <v>174</v>
      </c>
      <c r="B35" s="101" t="e">
        <f>(1-B10)*B34*Skyggepris</f>
        <v>#VALUE!</v>
      </c>
    </row>
    <row r="36" spans="1:3" x14ac:dyDescent="0.2">
      <c r="A36" s="90"/>
      <c r="B36" s="90"/>
      <c r="C36" s="90"/>
    </row>
    <row r="37" spans="1:3" x14ac:dyDescent="0.2">
      <c r="A37" s="58" t="s">
        <v>7</v>
      </c>
    </row>
    <row r="38" spans="1:3" x14ac:dyDescent="0.2">
      <c r="A38" s="96" t="s">
        <v>8</v>
      </c>
      <c r="B38" s="103" t="e">
        <f>B29+B34+B35</f>
        <v>#VALUE!</v>
      </c>
      <c r="C38" s="60" t="s">
        <v>175</v>
      </c>
    </row>
    <row r="40" spans="1:3" x14ac:dyDescent="0.2">
      <c r="A40" s="95" t="s">
        <v>178</v>
      </c>
      <c r="B40" s="104" t="e">
        <f>B38/-B34</f>
        <v>#VALUE!</v>
      </c>
      <c r="C40" s="60" t="s">
        <v>9</v>
      </c>
    </row>
  </sheetData>
  <sheetProtection algorithmName="SHA-512" hashValue="r66SynIOxubTQo6aYgHQpWDruYb7LiTx2CfBpTNvH+xcAqGVXZ6hfKyrwhEf0/thtM/Fgc6UMJsv+IdYYLjoow==" saltValue="mpGCziEHYosYAKNw5kJxSw==" spinCount="100000" sheet="1" objects="1" scenarios="1" selectLockedCells="1"/>
  <protectedRanges>
    <protectedRange sqref="B13:B16" name="Område1"/>
    <protectedRange sqref="B8:B12" name="Område1_1"/>
  </protectedRanges>
  <phoneticPr fontId="2" type="noConversion"/>
  <pageMargins left="0.78740157499999996" right="0.78740157499999996" top="0.984251969" bottom="0.984251969" header="0.5" footer="0.5"/>
  <pageSetup paperSize="9" scale="85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1">
    <tabColor indexed="50"/>
    <pageSetUpPr fitToPage="1"/>
  </sheetPr>
  <dimension ref="A1:D41"/>
  <sheetViews>
    <sheetView workbookViewId="0">
      <selection activeCell="B8" sqref="B8"/>
    </sheetView>
  </sheetViews>
  <sheetFormatPr baseColWidth="10" defaultRowHeight="12.75" x14ac:dyDescent="0.2"/>
  <cols>
    <col min="1" max="1" width="46.5703125" style="60" customWidth="1"/>
    <col min="2" max="2" width="15.28515625" style="60" customWidth="1"/>
    <col min="3" max="16384" width="11.42578125" style="60"/>
  </cols>
  <sheetData>
    <row r="1" spans="1:3" ht="13.5" thickBot="1" x14ac:dyDescent="0.25">
      <c r="A1" s="58" t="s">
        <v>44</v>
      </c>
    </row>
    <row r="2" spans="1:3" x14ac:dyDescent="0.2">
      <c r="A2" s="61" t="s">
        <v>156</v>
      </c>
      <c r="B2" s="62"/>
      <c r="C2" s="63"/>
    </row>
    <row r="3" spans="1:3" x14ac:dyDescent="0.2">
      <c r="A3" s="65" t="s">
        <v>188</v>
      </c>
      <c r="B3" s="66">
        <f>Analyseperiode</f>
        <v>40</v>
      </c>
      <c r="C3" s="67" t="s">
        <v>104</v>
      </c>
    </row>
    <row r="4" spans="1:3" x14ac:dyDescent="0.2">
      <c r="A4" s="65" t="s">
        <v>189</v>
      </c>
      <c r="B4" s="68"/>
      <c r="C4" s="64"/>
    </row>
    <row r="5" spans="1:3" ht="13.5" thickBot="1" x14ac:dyDescent="0.25">
      <c r="A5" s="70" t="s">
        <v>215</v>
      </c>
      <c r="B5" s="71"/>
      <c r="C5" s="72"/>
    </row>
    <row r="6" spans="1:3" x14ac:dyDescent="0.2">
      <c r="A6" s="73"/>
      <c r="B6" s="74"/>
      <c r="C6" s="75"/>
    </row>
    <row r="7" spans="1:3" x14ac:dyDescent="0.2">
      <c r="A7" s="58" t="s">
        <v>13</v>
      </c>
      <c r="B7" s="59"/>
    </row>
    <row r="8" spans="1:3" x14ac:dyDescent="0.2">
      <c r="A8" s="96" t="s">
        <v>36</v>
      </c>
      <c r="B8" s="77" t="s">
        <v>40</v>
      </c>
      <c r="C8" s="60" t="s">
        <v>100</v>
      </c>
    </row>
    <row r="9" spans="1:3" x14ac:dyDescent="0.2">
      <c r="A9" s="96" t="s">
        <v>77</v>
      </c>
      <c r="B9" s="77" t="s">
        <v>40</v>
      </c>
      <c r="C9" s="60" t="s">
        <v>100</v>
      </c>
    </row>
    <row r="10" spans="1:3" x14ac:dyDescent="0.2">
      <c r="A10" s="96" t="s">
        <v>96</v>
      </c>
      <c r="B10" s="79">
        <v>0</v>
      </c>
      <c r="C10" s="60" t="s">
        <v>51</v>
      </c>
    </row>
    <row r="11" spans="1:3" x14ac:dyDescent="0.2">
      <c r="A11" s="96" t="s">
        <v>37</v>
      </c>
      <c r="B11" s="80">
        <f>Forutsetninger!G32</f>
        <v>15</v>
      </c>
    </row>
    <row r="12" spans="1:3" x14ac:dyDescent="0.2">
      <c r="A12" s="95" t="s">
        <v>6</v>
      </c>
      <c r="B12" s="77" t="s">
        <v>40</v>
      </c>
      <c r="C12" s="60" t="s">
        <v>290</v>
      </c>
    </row>
    <row r="13" spans="1:3" x14ac:dyDescent="0.2">
      <c r="A13" s="96" t="s">
        <v>11</v>
      </c>
      <c r="B13" s="111" t="s">
        <v>40</v>
      </c>
    </row>
    <row r="14" spans="1:3" x14ac:dyDescent="0.2">
      <c r="A14" s="96" t="s">
        <v>45</v>
      </c>
      <c r="B14" s="111" t="s">
        <v>40</v>
      </c>
    </row>
    <row r="15" spans="1:3" x14ac:dyDescent="0.2">
      <c r="A15" s="96" t="s">
        <v>184</v>
      </c>
      <c r="B15" s="105" t="s">
        <v>40</v>
      </c>
      <c r="C15" s="60" t="s">
        <v>135</v>
      </c>
    </row>
    <row r="16" spans="1:3" x14ac:dyDescent="0.2">
      <c r="A16" s="96" t="s">
        <v>56</v>
      </c>
      <c r="B16" s="80">
        <v>20</v>
      </c>
    </row>
    <row r="17" spans="1:4" x14ac:dyDescent="0.2">
      <c r="B17" s="59"/>
      <c r="D17" s="87"/>
    </row>
    <row r="18" spans="1:4" hidden="1" x14ac:dyDescent="0.2">
      <c r="B18" s="59"/>
    </row>
    <row r="19" spans="1:4" hidden="1" x14ac:dyDescent="0.2">
      <c r="A19" s="81" t="s">
        <v>111</v>
      </c>
      <c r="B19" s="82">
        <f>INT(Analyseperiode/B11)+1</f>
        <v>3</v>
      </c>
    </row>
    <row r="20" spans="1:4" hidden="1" x14ac:dyDescent="0.2">
      <c r="A20" s="81" t="s">
        <v>140</v>
      </c>
      <c r="B20" s="83">
        <f>(1-((1+Drente)^(-B11*B19)))/(1-((1+Drente)^(-B11)))+((Analyseperiode-(B11*B19))/(B11*((1+Drente)^Analyseperiode)))</f>
        <v>1.7941534891323816</v>
      </c>
    </row>
    <row r="21" spans="1:4" x14ac:dyDescent="0.2">
      <c r="A21" s="73"/>
      <c r="B21" s="84"/>
    </row>
    <row r="22" spans="1:4" x14ac:dyDescent="0.2">
      <c r="A22" s="58" t="s">
        <v>143</v>
      </c>
      <c r="B22" s="59"/>
    </row>
    <row r="23" spans="1:4" x14ac:dyDescent="0.2">
      <c r="A23" s="95" t="s">
        <v>10</v>
      </c>
      <c r="B23" s="100" t="e">
        <f>(B16/60)*Forutsetninger!D12*B12</f>
        <v>#VALUE!</v>
      </c>
    </row>
    <row r="24" spans="1:4" x14ac:dyDescent="0.2">
      <c r="A24" s="96" t="s">
        <v>112</v>
      </c>
      <c r="B24" s="101" t="e">
        <f>B13*B15*(-B14/60)*Forutsetninger!D13</f>
        <v>#VALUE!</v>
      </c>
    </row>
    <row r="25" spans="1:4" x14ac:dyDescent="0.2">
      <c r="A25" s="96" t="s">
        <v>14</v>
      </c>
      <c r="B25" s="101" t="e">
        <f>B15*(B16/60)*Forutsetninger!D38</f>
        <v>#VALUE!</v>
      </c>
    </row>
    <row r="26" spans="1:4" x14ac:dyDescent="0.2">
      <c r="A26" s="96" t="s">
        <v>47</v>
      </c>
      <c r="B26" s="101" t="e">
        <f>SUM(B25,B24,B23)</f>
        <v>#VALUE!</v>
      </c>
    </row>
    <row r="27" spans="1:4" x14ac:dyDescent="0.2">
      <c r="A27" s="96" t="s">
        <v>171</v>
      </c>
      <c r="B27" s="101" t="e">
        <f>B23*Afaktor_vekst</f>
        <v>#VALUE!</v>
      </c>
    </row>
    <row r="28" spans="1:4" x14ac:dyDescent="0.2">
      <c r="A28" s="96" t="s">
        <v>172</v>
      </c>
      <c r="B28" s="101" t="e">
        <f>B24*Afaktor_vekst</f>
        <v>#VALUE!</v>
      </c>
    </row>
    <row r="29" spans="1:4" x14ac:dyDescent="0.2">
      <c r="A29" s="96" t="s">
        <v>173</v>
      </c>
      <c r="B29" s="101" t="e">
        <f>B25*Afaktor_vekst</f>
        <v>#VALUE!</v>
      </c>
    </row>
    <row r="30" spans="1:4" x14ac:dyDescent="0.2">
      <c r="A30" s="96" t="s">
        <v>254</v>
      </c>
      <c r="B30" s="101" t="e">
        <f>B26*Afaktor_vekst</f>
        <v>#VALUE!</v>
      </c>
    </row>
    <row r="31" spans="1:4" x14ac:dyDescent="0.2">
      <c r="B31" s="87"/>
    </row>
    <row r="32" spans="1:4" x14ac:dyDescent="0.2">
      <c r="A32" s="88" t="s">
        <v>144</v>
      </c>
    </row>
    <row r="33" spans="1:3" x14ac:dyDescent="0.2">
      <c r="A33" s="95" t="s">
        <v>142</v>
      </c>
      <c r="B33" s="101" t="e">
        <f>-B8*$B$20</f>
        <v>#VALUE!</v>
      </c>
      <c r="C33" s="89"/>
    </row>
    <row r="34" spans="1:3" x14ac:dyDescent="0.2">
      <c r="A34" s="96" t="s">
        <v>141</v>
      </c>
      <c r="B34" s="101" t="e">
        <f>-B9*Afaktor</f>
        <v>#VALUE!</v>
      </c>
      <c r="C34" s="89"/>
    </row>
    <row r="35" spans="1:3" x14ac:dyDescent="0.2">
      <c r="A35" s="95" t="s">
        <v>214</v>
      </c>
      <c r="B35" s="101" t="e">
        <f>B33+B34</f>
        <v>#VALUE!</v>
      </c>
    </row>
    <row r="36" spans="1:3" x14ac:dyDescent="0.2">
      <c r="A36" s="96" t="s">
        <v>174</v>
      </c>
      <c r="B36" s="101" t="e">
        <f>(1-B10)*B35*Skyggepris</f>
        <v>#VALUE!</v>
      </c>
    </row>
    <row r="37" spans="1:3" x14ac:dyDescent="0.2">
      <c r="A37" s="90"/>
      <c r="B37" s="90"/>
      <c r="C37" s="90"/>
    </row>
    <row r="38" spans="1:3" x14ac:dyDescent="0.2">
      <c r="A38" s="58" t="s">
        <v>7</v>
      </c>
      <c r="B38" s="59"/>
    </row>
    <row r="39" spans="1:3" x14ac:dyDescent="0.2">
      <c r="A39" s="96" t="s">
        <v>8</v>
      </c>
      <c r="B39" s="103" t="e">
        <f>B30+B35+B36</f>
        <v>#VALUE!</v>
      </c>
      <c r="C39" s="60" t="s">
        <v>175</v>
      </c>
    </row>
    <row r="40" spans="1:3" x14ac:dyDescent="0.2">
      <c r="B40" s="59"/>
    </row>
    <row r="41" spans="1:3" x14ac:dyDescent="0.2">
      <c r="A41" s="95" t="s">
        <v>178</v>
      </c>
      <c r="B41" s="104" t="e">
        <f>B39/-B35</f>
        <v>#VALUE!</v>
      </c>
      <c r="C41" s="60" t="s">
        <v>9</v>
      </c>
    </row>
  </sheetData>
  <sheetProtection algorithmName="SHA-512" hashValue="fEOVf6qnEQvINxjH/+OW/U9qZDbvBMjK5CILtSPmK8s/pI1GSNrgTU2tECjQVIN0K/57U/fTsCZRrBKmSGhA1w==" saltValue="WxJkZuxfbL4IWQmeIr9lag==" spinCount="100000" sheet="1" objects="1" scenarios="1" selectLockedCells="1"/>
  <protectedRanges>
    <protectedRange sqref="B13:B16" name="Område1"/>
    <protectedRange sqref="B8:B12" name="Område1_1"/>
  </protectedRanges>
  <phoneticPr fontId="2" type="noConversion"/>
  <pageMargins left="0.78740157499999996" right="0.78740157499999996" top="0.984251969" bottom="0.984251969" header="0.5" footer="0.5"/>
  <pageSetup paperSize="9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2">
    <tabColor indexed="50"/>
    <pageSetUpPr fitToPage="1"/>
  </sheetPr>
  <dimension ref="A1:F41"/>
  <sheetViews>
    <sheetView workbookViewId="0">
      <selection activeCell="B8" sqref="B8"/>
    </sheetView>
  </sheetViews>
  <sheetFormatPr baseColWidth="10" defaultRowHeight="12.75" x14ac:dyDescent="0.2"/>
  <cols>
    <col min="1" max="1" width="68.140625" style="60" customWidth="1"/>
    <col min="2" max="2" width="15.28515625" style="60" customWidth="1"/>
    <col min="3" max="16384" width="11.42578125" style="60"/>
  </cols>
  <sheetData>
    <row r="1" spans="1:6" ht="13.5" thickBot="1" x14ac:dyDescent="0.25">
      <c r="A1" s="58" t="s">
        <v>46</v>
      </c>
      <c r="E1" s="75"/>
      <c r="F1" s="97"/>
    </row>
    <row r="2" spans="1:6" x14ac:dyDescent="0.2">
      <c r="A2" s="61" t="s">
        <v>156</v>
      </c>
      <c r="B2" s="62"/>
      <c r="C2" s="63"/>
    </row>
    <row r="3" spans="1:6" x14ac:dyDescent="0.2">
      <c r="A3" s="65" t="s">
        <v>188</v>
      </c>
      <c r="B3" s="66">
        <f>Analyseperiode</f>
        <v>40</v>
      </c>
      <c r="C3" s="67" t="s">
        <v>104</v>
      </c>
    </row>
    <row r="4" spans="1:6" x14ac:dyDescent="0.2">
      <c r="A4" s="65" t="s">
        <v>189</v>
      </c>
      <c r="B4" s="68"/>
      <c r="C4" s="64"/>
    </row>
    <row r="5" spans="1:6" ht="13.5" thickBot="1" x14ac:dyDescent="0.25">
      <c r="A5" s="70" t="s">
        <v>215</v>
      </c>
      <c r="B5" s="71"/>
      <c r="C5" s="72"/>
    </row>
    <row r="6" spans="1:6" x14ac:dyDescent="0.2">
      <c r="A6" s="73"/>
      <c r="B6" s="74"/>
      <c r="C6" s="75"/>
    </row>
    <row r="7" spans="1:6" x14ac:dyDescent="0.2">
      <c r="A7" s="58" t="s">
        <v>13</v>
      </c>
      <c r="B7" s="59"/>
    </row>
    <row r="8" spans="1:6" x14ac:dyDescent="0.2">
      <c r="A8" s="95" t="s">
        <v>216</v>
      </c>
      <c r="B8" s="77" t="s">
        <v>40</v>
      </c>
    </row>
    <row r="9" spans="1:6" x14ac:dyDescent="0.2">
      <c r="A9" s="95" t="s">
        <v>217</v>
      </c>
      <c r="B9" s="77" t="s">
        <v>40</v>
      </c>
    </row>
    <row r="10" spans="1:6" x14ac:dyDescent="0.2">
      <c r="A10" s="96" t="s">
        <v>96</v>
      </c>
      <c r="B10" s="79">
        <v>0</v>
      </c>
    </row>
    <row r="11" spans="1:6" x14ac:dyDescent="0.2">
      <c r="A11" s="96" t="s">
        <v>37</v>
      </c>
      <c r="B11" s="80">
        <f>Forutsetninger!G33</f>
        <v>10</v>
      </c>
    </row>
    <row r="12" spans="1:6" x14ac:dyDescent="0.2">
      <c r="A12" s="95" t="s">
        <v>185</v>
      </c>
      <c r="B12" s="77" t="s">
        <v>40</v>
      </c>
      <c r="C12" s="60" t="s">
        <v>290</v>
      </c>
    </row>
    <row r="13" spans="1:6" x14ac:dyDescent="0.2">
      <c r="A13" s="95" t="s">
        <v>234</v>
      </c>
      <c r="B13" s="105" t="s">
        <v>40</v>
      </c>
    </row>
    <row r="14" spans="1:6" x14ac:dyDescent="0.2">
      <c r="A14" s="95" t="s">
        <v>233</v>
      </c>
      <c r="B14" s="111" t="s">
        <v>40</v>
      </c>
    </row>
    <row r="15" spans="1:6" x14ac:dyDescent="0.2">
      <c r="A15" s="95" t="s">
        <v>235</v>
      </c>
      <c r="B15" s="105" t="s">
        <v>40</v>
      </c>
    </row>
    <row r="16" spans="1:6" x14ac:dyDescent="0.2">
      <c r="A16" s="95" t="s">
        <v>232</v>
      </c>
      <c r="B16" s="111" t="s">
        <v>40</v>
      </c>
    </row>
    <row r="17" spans="1:4" x14ac:dyDescent="0.2">
      <c r="A17" s="95" t="s">
        <v>231</v>
      </c>
      <c r="B17" s="105" t="s">
        <v>40</v>
      </c>
    </row>
    <row r="18" spans="1:4" x14ac:dyDescent="0.2">
      <c r="B18" s="59"/>
      <c r="D18" s="87"/>
    </row>
    <row r="19" spans="1:4" hidden="1" x14ac:dyDescent="0.2">
      <c r="A19" s="81" t="s">
        <v>111</v>
      </c>
      <c r="B19" s="82">
        <f>INT(Analyseperiode/B11)+1</f>
        <v>5</v>
      </c>
    </row>
    <row r="20" spans="1:4" hidden="1" x14ac:dyDescent="0.2">
      <c r="A20" s="81" t="s">
        <v>140</v>
      </c>
      <c r="B20" s="83">
        <f>(1-((1+Drente)^(-B11*B19)))/(1-((1+Drente)^(-B11)))+((Analyseperiode-(B11*B19))/(B11*((1+Drente)^Analyseperiode)))</f>
        <v>2.4402697830005105</v>
      </c>
    </row>
    <row r="21" spans="1:4" x14ac:dyDescent="0.2">
      <c r="A21" s="73"/>
      <c r="B21" s="84"/>
    </row>
    <row r="22" spans="1:4" x14ac:dyDescent="0.2">
      <c r="A22" s="58" t="s">
        <v>143</v>
      </c>
      <c r="B22" s="59"/>
    </row>
    <row r="23" spans="1:4" x14ac:dyDescent="0.2">
      <c r="A23" s="95" t="s">
        <v>10</v>
      </c>
      <c r="B23" s="100" t="e">
        <f>B12*(B14/60)*Forutsetninger!D12</f>
        <v>#VALUE!</v>
      </c>
    </row>
    <row r="24" spans="1:4" x14ac:dyDescent="0.2">
      <c r="A24" s="96" t="s">
        <v>112</v>
      </c>
      <c r="B24" s="101" t="e">
        <f>B15*(B16/60)*Forutsetninger!D13-B13*(B14/60)*Forutsetninger!D13</f>
        <v>#VALUE!</v>
      </c>
    </row>
    <row r="25" spans="1:4" x14ac:dyDescent="0.2">
      <c r="A25" s="96" t="s">
        <v>14</v>
      </c>
      <c r="B25" s="101" t="e">
        <f>B17*(B16/60)*Forutsetninger!D38</f>
        <v>#VALUE!</v>
      </c>
    </row>
    <row r="26" spans="1:4" x14ac:dyDescent="0.2">
      <c r="A26" s="96" t="s">
        <v>47</v>
      </c>
      <c r="B26" s="101" t="e">
        <f>SUM(B25,B24,B23)</f>
        <v>#VALUE!</v>
      </c>
    </row>
    <row r="27" spans="1:4" x14ac:dyDescent="0.2">
      <c r="A27" s="96" t="s">
        <v>171</v>
      </c>
      <c r="B27" s="101" t="e">
        <f>B23*Afaktor_vekst</f>
        <v>#VALUE!</v>
      </c>
    </row>
    <row r="28" spans="1:4" x14ac:dyDescent="0.2">
      <c r="A28" s="96" t="s">
        <v>172</v>
      </c>
      <c r="B28" s="101" t="e">
        <f>B24*Afaktor_vekst</f>
        <v>#VALUE!</v>
      </c>
    </row>
    <row r="29" spans="1:4" x14ac:dyDescent="0.2">
      <c r="A29" s="96" t="s">
        <v>173</v>
      </c>
      <c r="B29" s="101" t="e">
        <f>B25*Afaktor_vekst</f>
        <v>#VALUE!</v>
      </c>
    </row>
    <row r="30" spans="1:4" x14ac:dyDescent="0.2">
      <c r="A30" s="96" t="s">
        <v>254</v>
      </c>
      <c r="B30" s="101" t="e">
        <f>B26*Afaktor_vekst</f>
        <v>#VALUE!</v>
      </c>
    </row>
    <row r="31" spans="1:4" x14ac:dyDescent="0.2">
      <c r="B31" s="87"/>
    </row>
    <row r="32" spans="1:4" x14ac:dyDescent="0.2">
      <c r="A32" s="88" t="s">
        <v>144</v>
      </c>
    </row>
    <row r="33" spans="1:3" x14ac:dyDescent="0.2">
      <c r="A33" s="95" t="s">
        <v>142</v>
      </c>
      <c r="B33" s="101" t="e">
        <f>-B8*$B$20</f>
        <v>#VALUE!</v>
      </c>
      <c r="C33" s="89"/>
    </row>
    <row r="34" spans="1:3" x14ac:dyDescent="0.2">
      <c r="A34" s="96" t="s">
        <v>141</v>
      </c>
      <c r="B34" s="101" t="e">
        <f>-B9*Afaktor</f>
        <v>#VALUE!</v>
      </c>
      <c r="C34" s="89"/>
    </row>
    <row r="35" spans="1:3" x14ac:dyDescent="0.2">
      <c r="A35" s="95" t="s">
        <v>214</v>
      </c>
      <c r="B35" s="101" t="e">
        <f>B33+B34</f>
        <v>#VALUE!</v>
      </c>
    </row>
    <row r="36" spans="1:3" x14ac:dyDescent="0.2">
      <c r="A36" s="96" t="s">
        <v>174</v>
      </c>
      <c r="B36" s="101" t="e">
        <f>(1-B10)*B35*Skyggepris</f>
        <v>#VALUE!</v>
      </c>
    </row>
    <row r="37" spans="1:3" x14ac:dyDescent="0.2">
      <c r="A37" s="90"/>
      <c r="B37" s="90"/>
      <c r="C37" s="90"/>
    </row>
    <row r="38" spans="1:3" x14ac:dyDescent="0.2">
      <c r="A38" s="58" t="s">
        <v>7</v>
      </c>
      <c r="B38" s="59"/>
    </row>
    <row r="39" spans="1:3" x14ac:dyDescent="0.2">
      <c r="A39" s="96" t="s">
        <v>8</v>
      </c>
      <c r="B39" s="103" t="e">
        <f>B30+B35+B36</f>
        <v>#VALUE!</v>
      </c>
      <c r="C39" s="60" t="s">
        <v>175</v>
      </c>
    </row>
    <row r="40" spans="1:3" x14ac:dyDescent="0.2">
      <c r="B40" s="59"/>
    </row>
    <row r="41" spans="1:3" x14ac:dyDescent="0.2">
      <c r="A41" s="95" t="s">
        <v>178</v>
      </c>
      <c r="B41" s="104" t="e">
        <f>B39/-B35</f>
        <v>#VALUE!</v>
      </c>
      <c r="C41" s="60" t="s">
        <v>9</v>
      </c>
    </row>
  </sheetData>
  <sheetProtection algorithmName="SHA-512" hashValue="fGP+RiKa4SqYSpXKlCMK39+Sml6pVQ9jBuEwQz5mK5lqXqkc3bmBaCP/PFox5LvKFVqfkfRY329r/ldzVbsTUg==" saltValue="x8rD902KvQG77j6Q9rfx5Q==" spinCount="100000" sheet="1" objects="1" scenarios="1" selectLockedCells="1"/>
  <protectedRanges>
    <protectedRange sqref="B13:B17 F1" name="Område1"/>
    <protectedRange sqref="B8:B12" name="Område1_1"/>
  </protectedRanges>
  <phoneticPr fontId="2" type="noConversion"/>
  <pageMargins left="0.78740157499999996" right="0.78740157499999996" top="0.984251969" bottom="0.984251969" header="0.5" footer="0.5"/>
  <pageSetup paperSize="9" scale="91" orientation="landscape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3">
    <tabColor indexed="50"/>
    <pageSetUpPr fitToPage="1"/>
  </sheetPr>
  <dimension ref="A1:E40"/>
  <sheetViews>
    <sheetView workbookViewId="0">
      <selection activeCell="B8" sqref="B8"/>
    </sheetView>
  </sheetViews>
  <sheetFormatPr baseColWidth="10" defaultRowHeight="12.75" x14ac:dyDescent="0.2"/>
  <cols>
    <col min="1" max="1" width="46.5703125" style="60" customWidth="1"/>
    <col min="2" max="2" width="15.28515625" style="60" customWidth="1"/>
    <col min="3" max="6" width="11.42578125" style="60"/>
    <col min="7" max="7" width="11.85546875" style="60" customWidth="1"/>
    <col min="8" max="16384" width="11.42578125" style="60"/>
  </cols>
  <sheetData>
    <row r="1" spans="1:5" ht="13.5" thickBot="1" x14ac:dyDescent="0.25">
      <c r="A1" s="58" t="s">
        <v>48</v>
      </c>
      <c r="E1" s="97"/>
    </row>
    <row r="2" spans="1:5" x14ac:dyDescent="0.2">
      <c r="A2" s="61" t="s">
        <v>156</v>
      </c>
      <c r="B2" s="62"/>
      <c r="C2" s="63"/>
    </row>
    <row r="3" spans="1:5" x14ac:dyDescent="0.2">
      <c r="A3" s="65" t="s">
        <v>188</v>
      </c>
      <c r="B3" s="66">
        <f>Analyseperiode</f>
        <v>40</v>
      </c>
      <c r="C3" s="67" t="s">
        <v>104</v>
      </c>
    </row>
    <row r="4" spans="1:5" x14ac:dyDescent="0.2">
      <c r="A4" s="65" t="s">
        <v>189</v>
      </c>
      <c r="B4" s="68"/>
      <c r="C4" s="64"/>
    </row>
    <row r="5" spans="1:5" ht="13.5" thickBot="1" x14ac:dyDescent="0.25">
      <c r="A5" s="70" t="s">
        <v>215</v>
      </c>
      <c r="B5" s="71"/>
      <c r="C5" s="72"/>
    </row>
    <row r="6" spans="1:5" x14ac:dyDescent="0.2">
      <c r="A6" s="73"/>
      <c r="B6" s="74"/>
      <c r="C6" s="75"/>
    </row>
    <row r="7" spans="1:5" x14ac:dyDescent="0.2">
      <c r="A7" s="58" t="s">
        <v>13</v>
      </c>
      <c r="B7" s="59"/>
      <c r="D7" s="89"/>
    </row>
    <row r="8" spans="1:5" x14ac:dyDescent="0.2">
      <c r="A8" s="95" t="s">
        <v>216</v>
      </c>
      <c r="B8" s="77" t="s">
        <v>40</v>
      </c>
    </row>
    <row r="9" spans="1:5" x14ac:dyDescent="0.2">
      <c r="A9" s="95" t="s">
        <v>217</v>
      </c>
      <c r="B9" s="77" t="s">
        <v>40</v>
      </c>
    </row>
    <row r="10" spans="1:5" x14ac:dyDescent="0.2">
      <c r="A10" s="96" t="s">
        <v>96</v>
      </c>
      <c r="B10" s="79">
        <v>0</v>
      </c>
    </row>
    <row r="11" spans="1:5" x14ac:dyDescent="0.2">
      <c r="A11" s="96" t="s">
        <v>37</v>
      </c>
      <c r="B11" s="80">
        <f>Forutsetninger!G34</f>
        <v>40</v>
      </c>
    </row>
    <row r="12" spans="1:5" x14ac:dyDescent="0.2">
      <c r="A12" s="96" t="s">
        <v>75</v>
      </c>
      <c r="B12" s="77" t="s">
        <v>40</v>
      </c>
      <c r="C12" s="60" t="s">
        <v>291</v>
      </c>
    </row>
    <row r="13" spans="1:5" x14ac:dyDescent="0.2">
      <c r="A13" s="96" t="s">
        <v>49</v>
      </c>
      <c r="B13" s="110" t="s">
        <v>40</v>
      </c>
    </row>
    <row r="14" spans="1:5" x14ac:dyDescent="0.2">
      <c r="A14" s="96" t="s">
        <v>186</v>
      </c>
      <c r="B14" s="105" t="s">
        <v>40</v>
      </c>
    </row>
    <row r="15" spans="1:5" x14ac:dyDescent="0.2">
      <c r="A15" s="96" t="s">
        <v>50</v>
      </c>
      <c r="B15" s="109">
        <f>5/3.6</f>
        <v>1.3888888888888888</v>
      </c>
    </row>
    <row r="16" spans="1:5" x14ac:dyDescent="0.2">
      <c r="B16" s="59"/>
      <c r="D16" s="59"/>
    </row>
    <row r="17" spans="1:3" hidden="1" x14ac:dyDescent="0.2">
      <c r="B17" s="59"/>
    </row>
    <row r="18" spans="1:3" hidden="1" x14ac:dyDescent="0.2">
      <c r="A18" s="81" t="s">
        <v>111</v>
      </c>
      <c r="B18" s="82">
        <f>INT(Analyseperiode/B11)+1</f>
        <v>2</v>
      </c>
    </row>
    <row r="19" spans="1:3" hidden="1" x14ac:dyDescent="0.2">
      <c r="A19" s="81" t="s">
        <v>140</v>
      </c>
      <c r="B19" s="83">
        <f>(1-((1+Drente)^(-B11*B18)))/(1-((1+Drente)^(-B11)))+((Analyseperiode-(B11*B18))/(B11*((1+Drente)^Analyseperiode)))</f>
        <v>1</v>
      </c>
    </row>
    <row r="20" spans="1:3" x14ac:dyDescent="0.2">
      <c r="A20" s="73"/>
      <c r="B20" s="84"/>
    </row>
    <row r="21" spans="1:3" x14ac:dyDescent="0.2">
      <c r="A21" s="58" t="s">
        <v>143</v>
      </c>
      <c r="B21" s="59"/>
    </row>
    <row r="22" spans="1:3" x14ac:dyDescent="0.2">
      <c r="A22" s="95" t="s">
        <v>10</v>
      </c>
      <c r="B22" s="100" t="e">
        <f>(Forutsetninger!D14*B12*(B14/(B15*60))*B13)-(Forutsetninger!D14*B12*(B14/(B15*60))*(1-B13))</f>
        <v>#VALUE!</v>
      </c>
      <c r="C22" s="60" t="s">
        <v>52</v>
      </c>
    </row>
    <row r="23" spans="1:3" x14ac:dyDescent="0.2">
      <c r="A23" s="96" t="s">
        <v>112</v>
      </c>
      <c r="B23" s="101">
        <v>0</v>
      </c>
    </row>
    <row r="24" spans="1:3" x14ac:dyDescent="0.2">
      <c r="A24" s="96" t="s">
        <v>14</v>
      </c>
      <c r="B24" s="101">
        <v>0</v>
      </c>
    </row>
    <row r="25" spans="1:3" x14ac:dyDescent="0.2">
      <c r="A25" s="96" t="s">
        <v>47</v>
      </c>
      <c r="B25" s="101" t="e">
        <f>SUM(B24,B23,B22)</f>
        <v>#VALUE!</v>
      </c>
    </row>
    <row r="26" spans="1:3" x14ac:dyDescent="0.2">
      <c r="A26" s="96" t="s">
        <v>171</v>
      </c>
      <c r="B26" s="101" t="e">
        <f>B22*Afaktor_vekst</f>
        <v>#VALUE!</v>
      </c>
    </row>
    <row r="27" spans="1:3" x14ac:dyDescent="0.2">
      <c r="A27" s="96" t="s">
        <v>172</v>
      </c>
      <c r="B27" s="101">
        <f>B23*Afaktor_vekst</f>
        <v>0</v>
      </c>
    </row>
    <row r="28" spans="1:3" x14ac:dyDescent="0.2">
      <c r="A28" s="96" t="s">
        <v>173</v>
      </c>
      <c r="B28" s="101">
        <f>B24*Afaktor_vekst</f>
        <v>0</v>
      </c>
    </row>
    <row r="29" spans="1:3" x14ac:dyDescent="0.2">
      <c r="A29" s="96" t="s">
        <v>254</v>
      </c>
      <c r="B29" s="101" t="e">
        <f>B25*Afaktor_vekst</f>
        <v>#VALUE!</v>
      </c>
    </row>
    <row r="30" spans="1:3" x14ac:dyDescent="0.2">
      <c r="B30" s="87"/>
    </row>
    <row r="31" spans="1:3" x14ac:dyDescent="0.2">
      <c r="A31" s="88" t="s">
        <v>144</v>
      </c>
    </row>
    <row r="32" spans="1:3" x14ac:dyDescent="0.2">
      <c r="A32" s="95" t="s">
        <v>142</v>
      </c>
      <c r="B32" s="101" t="e">
        <f>-B8*$B$19</f>
        <v>#VALUE!</v>
      </c>
      <c r="C32" s="89"/>
    </row>
    <row r="33" spans="1:3" x14ac:dyDescent="0.2">
      <c r="A33" s="96" t="s">
        <v>141</v>
      </c>
      <c r="B33" s="101" t="e">
        <f>-B9*Afaktor</f>
        <v>#VALUE!</v>
      </c>
      <c r="C33" s="89"/>
    </row>
    <row r="34" spans="1:3" x14ac:dyDescent="0.2">
      <c r="A34" s="95" t="s">
        <v>214</v>
      </c>
      <c r="B34" s="101" t="e">
        <f>B32+B33</f>
        <v>#VALUE!</v>
      </c>
    </row>
    <row r="35" spans="1:3" x14ac:dyDescent="0.2">
      <c r="A35" s="96" t="s">
        <v>174</v>
      </c>
      <c r="B35" s="101" t="e">
        <f>(1-B10)*B34*Skyggepris</f>
        <v>#VALUE!</v>
      </c>
    </row>
    <row r="36" spans="1:3" x14ac:dyDescent="0.2">
      <c r="A36" s="90"/>
      <c r="B36" s="90"/>
      <c r="C36" s="90"/>
    </row>
    <row r="37" spans="1:3" x14ac:dyDescent="0.2">
      <c r="A37" s="58" t="s">
        <v>7</v>
      </c>
      <c r="B37" s="59"/>
    </row>
    <row r="38" spans="1:3" x14ac:dyDescent="0.2">
      <c r="A38" s="96" t="s">
        <v>8</v>
      </c>
      <c r="B38" s="103" t="e">
        <f>B29+B34+B35</f>
        <v>#VALUE!</v>
      </c>
      <c r="C38" s="60" t="s">
        <v>175</v>
      </c>
    </row>
    <row r="39" spans="1:3" x14ac:dyDescent="0.2">
      <c r="B39" s="59"/>
    </row>
    <row r="40" spans="1:3" x14ac:dyDescent="0.2">
      <c r="A40" s="95" t="s">
        <v>178</v>
      </c>
      <c r="B40" s="104" t="e">
        <f>B38/-B34</f>
        <v>#VALUE!</v>
      </c>
      <c r="C40" s="60" t="s">
        <v>9</v>
      </c>
    </row>
  </sheetData>
  <sheetProtection algorithmName="SHA-512" hashValue="crcCZjJWOy/S7tOHMENWQt+MXKldgWd4jj3sMzdwfLax4cyZF2yZqaEJhRdAT/jQ5WqxkENlMYv85oOl8FRzyw==" saltValue="LzVUAvtGbHfq61Rf9Z553g==" spinCount="100000" sheet="1" objects="1" scenarios="1" selectLockedCells="1"/>
  <protectedRanges>
    <protectedRange sqref="B13:B14 E1" name="Område1"/>
    <protectedRange sqref="B8:B12" name="Område1_1"/>
  </protectedRanges>
  <phoneticPr fontId="2" type="noConversion"/>
  <pageMargins left="0.78740157499999996" right="0.78740157499999996" top="0.984251969" bottom="0.984251969" header="0.5" footer="0.5"/>
  <pageSetup paperSize="9" scale="92" orientation="landscape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4">
    <tabColor indexed="50"/>
    <pageSetUpPr fitToPage="1"/>
  </sheetPr>
  <dimension ref="A1:F41"/>
  <sheetViews>
    <sheetView workbookViewId="0">
      <selection activeCell="B8" sqref="B8"/>
    </sheetView>
  </sheetViews>
  <sheetFormatPr baseColWidth="10" defaultRowHeight="12.75" x14ac:dyDescent="0.2"/>
  <cols>
    <col min="1" max="1" width="73.140625" style="60" customWidth="1"/>
    <col min="2" max="2" width="15.28515625" style="60" customWidth="1"/>
    <col min="3" max="6" width="11.42578125" style="60"/>
    <col min="7" max="7" width="11.85546875" style="60" customWidth="1"/>
    <col min="8" max="16384" width="11.42578125" style="60"/>
  </cols>
  <sheetData>
    <row r="1" spans="1:6" ht="13.5" thickBot="1" x14ac:dyDescent="0.25">
      <c r="A1" s="58" t="s">
        <v>55</v>
      </c>
      <c r="E1" s="73"/>
      <c r="F1" s="97"/>
    </row>
    <row r="2" spans="1:6" x14ac:dyDescent="0.2">
      <c r="A2" s="61" t="s">
        <v>156</v>
      </c>
      <c r="B2" s="62"/>
      <c r="C2" s="63"/>
    </row>
    <row r="3" spans="1:6" x14ac:dyDescent="0.2">
      <c r="A3" s="65" t="s">
        <v>188</v>
      </c>
      <c r="B3" s="66">
        <f>Analyseperiode</f>
        <v>40</v>
      </c>
      <c r="C3" s="67" t="s">
        <v>104</v>
      </c>
    </row>
    <row r="4" spans="1:6" x14ac:dyDescent="0.2">
      <c r="A4" s="65" t="s">
        <v>189</v>
      </c>
      <c r="B4" s="68"/>
      <c r="C4" s="64"/>
    </row>
    <row r="5" spans="1:6" ht="13.5" thickBot="1" x14ac:dyDescent="0.25">
      <c r="A5" s="70" t="s">
        <v>215</v>
      </c>
      <c r="B5" s="71"/>
      <c r="C5" s="72"/>
    </row>
    <row r="6" spans="1:6" x14ac:dyDescent="0.2">
      <c r="A6" s="73"/>
      <c r="B6" s="74"/>
      <c r="C6" s="75"/>
    </row>
    <row r="7" spans="1:6" x14ac:dyDescent="0.2">
      <c r="A7" s="58" t="s">
        <v>13</v>
      </c>
      <c r="B7" s="59"/>
    </row>
    <row r="8" spans="1:6" x14ac:dyDescent="0.2">
      <c r="A8" s="95" t="s">
        <v>216</v>
      </c>
      <c r="B8" s="77" t="s">
        <v>40</v>
      </c>
    </row>
    <row r="9" spans="1:6" x14ac:dyDescent="0.2">
      <c r="A9" s="95" t="s">
        <v>236</v>
      </c>
      <c r="B9" s="77" t="s">
        <v>40</v>
      </c>
    </row>
    <row r="10" spans="1:6" x14ac:dyDescent="0.2">
      <c r="A10" s="96" t="s">
        <v>96</v>
      </c>
      <c r="B10" s="79">
        <v>0</v>
      </c>
    </row>
    <row r="11" spans="1:6" x14ac:dyDescent="0.2">
      <c r="A11" s="96" t="s">
        <v>37</v>
      </c>
      <c r="B11" s="80">
        <v>25</v>
      </c>
    </row>
    <row r="12" spans="1:6" x14ac:dyDescent="0.2">
      <c r="A12" s="95" t="s">
        <v>292</v>
      </c>
      <c r="B12" s="77" t="s">
        <v>40</v>
      </c>
    </row>
    <row r="13" spans="1:6" x14ac:dyDescent="0.2">
      <c r="A13" s="95" t="s">
        <v>237</v>
      </c>
      <c r="B13" s="108" t="s">
        <v>40</v>
      </c>
    </row>
    <row r="14" spans="1:6" x14ac:dyDescent="0.2">
      <c r="A14" s="95" t="s">
        <v>238</v>
      </c>
      <c r="B14" s="105" t="s">
        <v>40</v>
      </c>
    </row>
    <row r="15" spans="1:6" x14ac:dyDescent="0.2">
      <c r="A15" s="96" t="s">
        <v>54</v>
      </c>
      <c r="B15" s="105" t="s">
        <v>40</v>
      </c>
      <c r="D15" s="107"/>
    </row>
    <row r="16" spans="1:6" x14ac:dyDescent="0.2">
      <c r="A16" s="96" t="s">
        <v>50</v>
      </c>
      <c r="B16" s="109">
        <f>5/3.6</f>
        <v>1.3888888888888888</v>
      </c>
    </row>
    <row r="17" spans="1:4" x14ac:dyDescent="0.2">
      <c r="A17" s="96" t="s">
        <v>53</v>
      </c>
      <c r="B17" s="101">
        <f>Forutsetninger!G35</f>
        <v>40</v>
      </c>
    </row>
    <row r="18" spans="1:4" x14ac:dyDescent="0.2">
      <c r="B18" s="59"/>
    </row>
    <row r="19" spans="1:4" hidden="1" x14ac:dyDescent="0.2">
      <c r="A19" s="81" t="s">
        <v>111</v>
      </c>
      <c r="B19" s="82">
        <f>INT(Analyseperiode/B11)+1</f>
        <v>2</v>
      </c>
      <c r="D19" s="59"/>
    </row>
    <row r="20" spans="1:4" hidden="1" x14ac:dyDescent="0.2">
      <c r="A20" s="81" t="s">
        <v>140</v>
      </c>
      <c r="B20" s="83">
        <f>(1-((1+Drente)^(-B11*B19)))/(1-((1+Drente)^(-B11)))+((Analyseperiode-(B11*B19))/(B11*((1+Drente)^Analyseperiode)))</f>
        <v>1.2918011843887871</v>
      </c>
    </row>
    <row r="21" spans="1:4" x14ac:dyDescent="0.2">
      <c r="A21" s="73"/>
      <c r="B21" s="84"/>
    </row>
    <row r="22" spans="1:4" x14ac:dyDescent="0.2">
      <c r="A22" s="58" t="s">
        <v>143</v>
      </c>
      <c r="B22" s="59"/>
    </row>
    <row r="23" spans="1:4" x14ac:dyDescent="0.2">
      <c r="A23" s="95" t="s">
        <v>10</v>
      </c>
      <c r="B23" s="100" t="e">
        <f>B13*(B17/60)*Forutsetninger!D12-(Forutsetninger!D14*B12*B14/B16)/60</f>
        <v>#VALUE!</v>
      </c>
    </row>
    <row r="24" spans="1:4" x14ac:dyDescent="0.2">
      <c r="A24" s="96" t="s">
        <v>112</v>
      </c>
      <c r="B24" s="101">
        <v>0</v>
      </c>
    </row>
    <row r="25" spans="1:4" x14ac:dyDescent="0.2">
      <c r="A25" s="96" t="s">
        <v>14</v>
      </c>
      <c r="B25" s="101" t="e">
        <f>B15*(B17/60)*Forutsetninger!D38</f>
        <v>#VALUE!</v>
      </c>
    </row>
    <row r="26" spans="1:4" x14ac:dyDescent="0.2">
      <c r="A26" s="96" t="s">
        <v>47</v>
      </c>
      <c r="B26" s="101" t="e">
        <f>SUM(B25,B24,B23)</f>
        <v>#VALUE!</v>
      </c>
    </row>
    <row r="27" spans="1:4" x14ac:dyDescent="0.2">
      <c r="A27" s="96" t="s">
        <v>171</v>
      </c>
      <c r="B27" s="101" t="e">
        <f>B23*Afaktor_vekst</f>
        <v>#VALUE!</v>
      </c>
    </row>
    <row r="28" spans="1:4" x14ac:dyDescent="0.2">
      <c r="A28" s="96" t="s">
        <v>172</v>
      </c>
      <c r="B28" s="101">
        <f>B24*Afaktor_vekst</f>
        <v>0</v>
      </c>
    </row>
    <row r="29" spans="1:4" x14ac:dyDescent="0.2">
      <c r="A29" s="96" t="s">
        <v>173</v>
      </c>
      <c r="B29" s="101" t="e">
        <f>B25*Afaktor_vekst</f>
        <v>#VALUE!</v>
      </c>
    </row>
    <row r="30" spans="1:4" x14ac:dyDescent="0.2">
      <c r="A30" s="96" t="s">
        <v>254</v>
      </c>
      <c r="B30" s="101" t="e">
        <f>B26*Afaktor_vekst</f>
        <v>#VALUE!</v>
      </c>
    </row>
    <row r="31" spans="1:4" x14ac:dyDescent="0.2">
      <c r="B31" s="87"/>
    </row>
    <row r="32" spans="1:4" x14ac:dyDescent="0.2">
      <c r="A32" s="88" t="s">
        <v>144</v>
      </c>
    </row>
    <row r="33" spans="1:3" x14ac:dyDescent="0.2">
      <c r="A33" s="95" t="s">
        <v>142</v>
      </c>
      <c r="B33" s="101" t="e">
        <f>-B8*$B$20</f>
        <v>#VALUE!</v>
      </c>
      <c r="C33" s="89"/>
    </row>
    <row r="34" spans="1:3" x14ac:dyDescent="0.2">
      <c r="A34" s="96" t="s">
        <v>141</v>
      </c>
      <c r="B34" s="101" t="e">
        <f>-B9*Afaktor</f>
        <v>#VALUE!</v>
      </c>
      <c r="C34" s="89"/>
    </row>
    <row r="35" spans="1:3" x14ac:dyDescent="0.2">
      <c r="A35" s="95" t="s">
        <v>214</v>
      </c>
      <c r="B35" s="101" t="e">
        <f>B33+B34</f>
        <v>#VALUE!</v>
      </c>
    </row>
    <row r="36" spans="1:3" x14ac:dyDescent="0.2">
      <c r="A36" s="96" t="s">
        <v>174</v>
      </c>
      <c r="B36" s="101" t="e">
        <f>(1-B10)*B35*Skyggepris</f>
        <v>#VALUE!</v>
      </c>
    </row>
    <row r="37" spans="1:3" x14ac:dyDescent="0.2">
      <c r="A37" s="90"/>
      <c r="B37" s="90"/>
      <c r="C37" s="90"/>
    </row>
    <row r="38" spans="1:3" x14ac:dyDescent="0.2">
      <c r="A38" s="58" t="s">
        <v>7</v>
      </c>
      <c r="B38" s="59"/>
    </row>
    <row r="39" spans="1:3" x14ac:dyDescent="0.2">
      <c r="A39" s="96" t="s">
        <v>8</v>
      </c>
      <c r="B39" s="103" t="e">
        <f>B30+B35+B36</f>
        <v>#VALUE!</v>
      </c>
      <c r="C39" s="60" t="s">
        <v>175</v>
      </c>
    </row>
    <row r="40" spans="1:3" x14ac:dyDescent="0.2">
      <c r="B40" s="59"/>
    </row>
    <row r="41" spans="1:3" x14ac:dyDescent="0.2">
      <c r="A41" s="95" t="s">
        <v>178</v>
      </c>
      <c r="B41" s="104" t="e">
        <f>B39/-B35</f>
        <v>#VALUE!</v>
      </c>
      <c r="C41" s="60" t="s">
        <v>9</v>
      </c>
    </row>
  </sheetData>
  <sheetProtection algorithmName="SHA-512" hashValue="n3Db2bRTagPTOSpIDmOD7+xRddMFbiFpdt7XE5dVQr+PIz+o2wEIZmEDKq9BRhf/cJijN+xfVXCOXLPms4gSbQ==" saltValue="onF/lLn4SZHYop0FkOyMlQ==" spinCount="100000" sheet="1" objects="1" scenarios="1" selectLockedCells="1"/>
  <protectedRanges>
    <protectedRange sqref="B13:B15 B17 F1" name="Område1"/>
    <protectedRange sqref="B8:B12" name="Område1_1"/>
  </protectedRanges>
  <phoneticPr fontId="2" type="noConversion"/>
  <pageMargins left="0.78740157499999996" right="0.78740157499999996" top="0.984251969" bottom="0.984251969" header="0.5" footer="0.5"/>
  <pageSetup paperSize="9" scale="8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3">
    <tabColor indexed="44"/>
    <pageSetUpPr fitToPage="1"/>
  </sheetPr>
  <dimension ref="A1:D37"/>
  <sheetViews>
    <sheetView zoomScaleNormal="100" workbookViewId="0">
      <selection activeCell="B8" sqref="B8"/>
    </sheetView>
  </sheetViews>
  <sheetFormatPr baseColWidth="10" defaultRowHeight="12.75" x14ac:dyDescent="0.2"/>
  <cols>
    <col min="1" max="1" width="47" style="60" customWidth="1"/>
    <col min="2" max="2" width="24.42578125" style="59" customWidth="1"/>
    <col min="3" max="3" width="3.5703125" style="60" customWidth="1"/>
    <col min="4" max="16384" width="11.42578125" style="60"/>
  </cols>
  <sheetData>
    <row r="1" spans="1:4" ht="13.5" thickBot="1" x14ac:dyDescent="0.25">
      <c r="A1" s="58" t="s">
        <v>250</v>
      </c>
    </row>
    <row r="2" spans="1:4" x14ac:dyDescent="0.2">
      <c r="A2" s="61" t="s">
        <v>156</v>
      </c>
      <c r="B2" s="62"/>
      <c r="C2" s="63"/>
    </row>
    <row r="3" spans="1:4" x14ac:dyDescent="0.2">
      <c r="A3" s="65" t="s">
        <v>188</v>
      </c>
      <c r="B3" s="66">
        <f>Analyseperiode</f>
        <v>40</v>
      </c>
      <c r="C3" s="67" t="s">
        <v>104</v>
      </c>
    </row>
    <row r="4" spans="1:4" x14ac:dyDescent="0.2">
      <c r="A4" s="65" t="s">
        <v>189</v>
      </c>
      <c r="B4" s="68"/>
      <c r="C4" s="64"/>
      <c r="D4" s="69"/>
    </row>
    <row r="5" spans="1:4" ht="13.5" thickBot="1" x14ac:dyDescent="0.25">
      <c r="A5" s="70" t="s">
        <v>215</v>
      </c>
      <c r="B5" s="71"/>
      <c r="C5" s="72"/>
    </row>
    <row r="6" spans="1:4" x14ac:dyDescent="0.2">
      <c r="A6" s="73"/>
      <c r="B6" s="74"/>
      <c r="C6" s="75"/>
    </row>
    <row r="7" spans="1:4" x14ac:dyDescent="0.2">
      <c r="A7" s="58" t="s">
        <v>13</v>
      </c>
    </row>
    <row r="8" spans="1:4" x14ac:dyDescent="0.2">
      <c r="A8" s="76" t="s">
        <v>216</v>
      </c>
      <c r="B8" s="186" t="s">
        <v>40</v>
      </c>
    </row>
    <row r="9" spans="1:4" x14ac:dyDescent="0.2">
      <c r="A9" s="76" t="s">
        <v>217</v>
      </c>
      <c r="B9" s="77" t="s">
        <v>40</v>
      </c>
    </row>
    <row r="10" spans="1:4" x14ac:dyDescent="0.2">
      <c r="A10" s="78" t="s">
        <v>96</v>
      </c>
      <c r="B10" s="79">
        <v>0</v>
      </c>
    </row>
    <row r="11" spans="1:4" x14ac:dyDescent="0.2">
      <c r="A11" s="78" t="s">
        <v>37</v>
      </c>
      <c r="B11" s="80">
        <f>Forutsetninger!G13</f>
        <v>10</v>
      </c>
    </row>
    <row r="12" spans="1:4" x14ac:dyDescent="0.2">
      <c r="A12" s="78" t="s">
        <v>94</v>
      </c>
      <c r="B12" s="77" t="s">
        <v>40</v>
      </c>
    </row>
    <row r="14" spans="1:4" hidden="1" x14ac:dyDescent="0.2"/>
    <row r="15" spans="1:4" hidden="1" x14ac:dyDescent="0.2">
      <c r="A15" s="81" t="s">
        <v>111</v>
      </c>
      <c r="B15" s="82">
        <f>INT(Analyseperiode/B11)+1</f>
        <v>5</v>
      </c>
    </row>
    <row r="16" spans="1:4" hidden="1" x14ac:dyDescent="0.2">
      <c r="A16" s="81" t="s">
        <v>140</v>
      </c>
      <c r="B16" s="83">
        <f>(1-((1+Drente)^(-B11*B15)))/(1-((1+Drente)^(-B11)))+((Analyseperiode-(B11*B15))/(B11*((1+Drente)^Analyseperiode)))</f>
        <v>2.4402697830005105</v>
      </c>
    </row>
    <row r="17" spans="1:3" x14ac:dyDescent="0.2">
      <c r="A17" s="73"/>
      <c r="B17" s="84"/>
    </row>
    <row r="18" spans="1:3" x14ac:dyDescent="0.2">
      <c r="A18" s="58" t="s">
        <v>143</v>
      </c>
    </row>
    <row r="19" spans="1:3" x14ac:dyDescent="0.2">
      <c r="A19" s="76" t="s">
        <v>10</v>
      </c>
      <c r="B19" s="85">
        <v>0</v>
      </c>
    </row>
    <row r="20" spans="1:3" x14ac:dyDescent="0.2">
      <c r="A20" s="78" t="s">
        <v>112</v>
      </c>
      <c r="B20" s="86" t="e">
        <f>B12*Forutsetninger!D15</f>
        <v>#VALUE!</v>
      </c>
    </row>
    <row r="21" spans="1:3" x14ac:dyDescent="0.2">
      <c r="A21" s="78" t="s">
        <v>14</v>
      </c>
      <c r="B21" s="86">
        <v>0</v>
      </c>
    </row>
    <row r="22" spans="1:3" x14ac:dyDescent="0.2">
      <c r="A22" s="78" t="s">
        <v>47</v>
      </c>
      <c r="B22" s="86" t="e">
        <f>SUM(B21,B20,B19)</f>
        <v>#VALUE!</v>
      </c>
    </row>
    <row r="23" spans="1:3" x14ac:dyDescent="0.2">
      <c r="A23" s="78" t="s">
        <v>171</v>
      </c>
      <c r="B23" s="86">
        <f>B19*Afaktor_vekst</f>
        <v>0</v>
      </c>
    </row>
    <row r="24" spans="1:3" x14ac:dyDescent="0.2">
      <c r="A24" s="78" t="s">
        <v>172</v>
      </c>
      <c r="B24" s="86" t="e">
        <f>B20*Afaktor_vekst</f>
        <v>#VALUE!</v>
      </c>
    </row>
    <row r="25" spans="1:3" x14ac:dyDescent="0.2">
      <c r="A25" s="78" t="s">
        <v>173</v>
      </c>
      <c r="B25" s="86">
        <f>B21*Afaktor_vekst</f>
        <v>0</v>
      </c>
    </row>
    <row r="26" spans="1:3" x14ac:dyDescent="0.2">
      <c r="A26" s="78" t="s">
        <v>254</v>
      </c>
      <c r="B26" s="86" t="e">
        <f>B22*Afaktor_vekst</f>
        <v>#VALUE!</v>
      </c>
    </row>
    <row r="27" spans="1:3" x14ac:dyDescent="0.2">
      <c r="B27" s="87"/>
    </row>
    <row r="28" spans="1:3" x14ac:dyDescent="0.2">
      <c r="A28" s="88" t="s">
        <v>144</v>
      </c>
      <c r="B28" s="60"/>
    </row>
    <row r="29" spans="1:3" x14ac:dyDescent="0.2">
      <c r="A29" s="76" t="s">
        <v>142</v>
      </c>
      <c r="B29" s="86" t="e">
        <f>-B8*$B$16</f>
        <v>#VALUE!</v>
      </c>
      <c r="C29" s="89"/>
    </row>
    <row r="30" spans="1:3" x14ac:dyDescent="0.2">
      <c r="A30" s="78" t="s">
        <v>141</v>
      </c>
      <c r="B30" s="86" t="e">
        <f>-B9*Afaktor</f>
        <v>#VALUE!</v>
      </c>
      <c r="C30" s="89"/>
    </row>
    <row r="31" spans="1:3" x14ac:dyDescent="0.2">
      <c r="A31" s="76" t="s">
        <v>214</v>
      </c>
      <c r="B31" s="86" t="e">
        <f>B29+B30</f>
        <v>#VALUE!</v>
      </c>
    </row>
    <row r="32" spans="1:3" x14ac:dyDescent="0.2">
      <c r="A32" s="78" t="s">
        <v>174</v>
      </c>
      <c r="B32" s="86" t="e">
        <f>(1-B10)*B31*Skyggepris</f>
        <v>#VALUE!</v>
      </c>
    </row>
    <row r="33" spans="1:3" x14ac:dyDescent="0.2">
      <c r="A33" s="90"/>
      <c r="B33" s="91"/>
      <c r="C33" s="90"/>
    </row>
    <row r="34" spans="1:3" x14ac:dyDescent="0.2">
      <c r="A34" s="58" t="s">
        <v>7</v>
      </c>
      <c r="B34" s="60" t="s">
        <v>9</v>
      </c>
    </row>
    <row r="35" spans="1:3" x14ac:dyDescent="0.2">
      <c r="A35" s="78" t="s">
        <v>8</v>
      </c>
      <c r="B35" s="92" t="e">
        <f>B26+B31+B32</f>
        <v>#VALUE!</v>
      </c>
      <c r="C35" s="60" t="s">
        <v>175</v>
      </c>
    </row>
    <row r="37" spans="1:3" x14ac:dyDescent="0.2">
      <c r="A37" s="76" t="s">
        <v>178</v>
      </c>
      <c r="B37" s="93" t="e">
        <f>B35/-B31</f>
        <v>#VALUE!</v>
      </c>
    </row>
  </sheetData>
  <sheetProtection algorithmName="SHA-512" hashValue="xeGdR7Dl0xBha+DHefzfVO1QgnjB7SbmpUIjxqKuEZraEb3ksxDQWzkiWMLZjpiLOodOwDmRsQ3pG036nNu4Ug==" saltValue="9FZ000jPIZkVvZbWpJQNeQ==" spinCount="100000" sheet="1" objects="1" scenarios="1" selectLockedCells="1"/>
  <protectedRanges>
    <protectedRange sqref="B8:B12" name="Område1_1"/>
  </protectedRanges>
  <phoneticPr fontId="2" type="noConversion"/>
  <pageMargins left="0.78740157499999996" right="0.78740157499999996" top="0.984251969" bottom="0.984251969" header="0.5" footer="0.5"/>
  <pageSetup paperSize="9" scale="86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  <pageSetUpPr fitToPage="1"/>
  </sheetPr>
  <dimension ref="A1:G41"/>
  <sheetViews>
    <sheetView workbookViewId="0">
      <selection activeCell="B8" sqref="B8"/>
    </sheetView>
  </sheetViews>
  <sheetFormatPr baseColWidth="10" defaultRowHeight="12.75" x14ac:dyDescent="0.2"/>
  <cols>
    <col min="1" max="1" width="80.28515625" style="60" customWidth="1"/>
    <col min="2" max="2" width="15.28515625" style="60" customWidth="1"/>
    <col min="3" max="6" width="11.42578125" style="60"/>
    <col min="7" max="7" width="11.85546875" style="60" customWidth="1"/>
    <col min="8" max="16384" width="11.42578125" style="60"/>
  </cols>
  <sheetData>
    <row r="1" spans="1:7" ht="13.5" thickBot="1" x14ac:dyDescent="0.25">
      <c r="A1" s="58" t="s">
        <v>101</v>
      </c>
      <c r="E1" s="75"/>
      <c r="F1" s="97"/>
      <c r="G1" s="75"/>
    </row>
    <row r="2" spans="1:7" x14ac:dyDescent="0.2">
      <c r="A2" s="61" t="s">
        <v>156</v>
      </c>
      <c r="B2" s="62"/>
      <c r="C2" s="63"/>
    </row>
    <row r="3" spans="1:7" x14ac:dyDescent="0.2">
      <c r="A3" s="65" t="s">
        <v>188</v>
      </c>
      <c r="B3" s="66">
        <f>Analyseperiode</f>
        <v>40</v>
      </c>
      <c r="C3" s="67" t="s">
        <v>104</v>
      </c>
    </row>
    <row r="4" spans="1:7" x14ac:dyDescent="0.2">
      <c r="A4" s="65" t="s">
        <v>189</v>
      </c>
      <c r="B4" s="68"/>
      <c r="C4" s="64"/>
    </row>
    <row r="5" spans="1:7" ht="13.5" thickBot="1" x14ac:dyDescent="0.25">
      <c r="A5" s="70" t="s">
        <v>215</v>
      </c>
      <c r="B5" s="71"/>
      <c r="C5" s="72"/>
    </row>
    <row r="6" spans="1:7" x14ac:dyDescent="0.2">
      <c r="A6" s="73"/>
      <c r="B6" s="74"/>
      <c r="C6" s="75"/>
    </row>
    <row r="7" spans="1:7" x14ac:dyDescent="0.2">
      <c r="A7" s="58" t="s">
        <v>13</v>
      </c>
      <c r="B7" s="59"/>
    </row>
    <row r="8" spans="1:7" x14ac:dyDescent="0.2">
      <c r="A8" s="95" t="s">
        <v>216</v>
      </c>
      <c r="B8" s="77" t="s">
        <v>40</v>
      </c>
    </row>
    <row r="9" spans="1:7" x14ac:dyDescent="0.2">
      <c r="A9" s="95" t="s">
        <v>217</v>
      </c>
      <c r="B9" s="77" t="s">
        <v>40</v>
      </c>
    </row>
    <row r="10" spans="1:7" x14ac:dyDescent="0.2">
      <c r="A10" s="96" t="s">
        <v>96</v>
      </c>
      <c r="B10" s="79" t="s">
        <v>40</v>
      </c>
    </row>
    <row r="11" spans="1:7" x14ac:dyDescent="0.2">
      <c r="A11" s="96" t="s">
        <v>37</v>
      </c>
      <c r="B11" s="80">
        <f>Forutsetninger!G36</f>
        <v>40</v>
      </c>
    </row>
    <row r="12" spans="1:7" x14ac:dyDescent="0.2">
      <c r="A12" s="95" t="s">
        <v>240</v>
      </c>
      <c r="B12" s="77" t="s">
        <v>40</v>
      </c>
      <c r="C12" s="60" t="s">
        <v>293</v>
      </c>
    </row>
    <row r="13" spans="1:7" x14ac:dyDescent="0.2">
      <c r="A13" s="95" t="s">
        <v>241</v>
      </c>
      <c r="B13" s="108" t="s">
        <v>40</v>
      </c>
    </row>
    <row r="14" spans="1:7" x14ac:dyDescent="0.2">
      <c r="A14" s="95" t="s">
        <v>242</v>
      </c>
      <c r="B14" s="105" t="s">
        <v>40</v>
      </c>
    </row>
    <row r="15" spans="1:7" x14ac:dyDescent="0.2">
      <c r="A15" s="96" t="s">
        <v>102</v>
      </c>
      <c r="B15" s="105" t="s">
        <v>40</v>
      </c>
      <c r="D15" s="107"/>
    </row>
    <row r="16" spans="1:7" x14ac:dyDescent="0.2">
      <c r="A16" s="96" t="s">
        <v>50</v>
      </c>
      <c r="B16" s="109">
        <f>5/3.6</f>
        <v>1.3888888888888888</v>
      </c>
    </row>
    <row r="17" spans="1:4" x14ac:dyDescent="0.2">
      <c r="A17" s="95" t="s">
        <v>239</v>
      </c>
      <c r="B17" s="101">
        <v>25</v>
      </c>
    </row>
    <row r="18" spans="1:4" x14ac:dyDescent="0.2">
      <c r="B18" s="59"/>
    </row>
    <row r="19" spans="1:4" hidden="1" x14ac:dyDescent="0.2">
      <c r="A19" s="81" t="s">
        <v>111</v>
      </c>
      <c r="B19" s="82">
        <f>INT(Analyseperiode/B11)+1</f>
        <v>2</v>
      </c>
      <c r="D19" s="59"/>
    </row>
    <row r="20" spans="1:4" hidden="1" x14ac:dyDescent="0.2">
      <c r="A20" s="81" t="s">
        <v>140</v>
      </c>
      <c r="B20" s="83">
        <f>(1-((1+Drente)^(-B11*B19)))/(1-((1+Drente)^(-B11)))+((Analyseperiode-(B11*B19))/(B11*((1+Drente)^Analyseperiode)))</f>
        <v>1</v>
      </c>
    </row>
    <row r="21" spans="1:4" x14ac:dyDescent="0.2">
      <c r="A21" s="73"/>
      <c r="B21" s="84"/>
    </row>
    <row r="22" spans="1:4" x14ac:dyDescent="0.2">
      <c r="A22" s="58" t="s">
        <v>143</v>
      </c>
      <c r="B22" s="59"/>
    </row>
    <row r="23" spans="1:4" x14ac:dyDescent="0.2">
      <c r="A23" s="95" t="s">
        <v>10</v>
      </c>
      <c r="B23" s="100" t="e">
        <f>-B13*(B17/60)*Forutsetninger!D12+(Forutsetninger!D14*B12*B14/B16)/60</f>
        <v>#VALUE!</v>
      </c>
    </row>
    <row r="24" spans="1:4" x14ac:dyDescent="0.2">
      <c r="A24" s="96" t="s">
        <v>112</v>
      </c>
      <c r="B24" s="101">
        <v>0</v>
      </c>
    </row>
    <row r="25" spans="1:4" x14ac:dyDescent="0.2">
      <c r="A25" s="96" t="s">
        <v>14</v>
      </c>
      <c r="B25" s="101" t="e">
        <f>-B15*(B17/60)*Forutsetninger!D38</f>
        <v>#VALUE!</v>
      </c>
    </row>
    <row r="26" spans="1:4" x14ac:dyDescent="0.2">
      <c r="A26" s="96" t="s">
        <v>47</v>
      </c>
      <c r="B26" s="101" t="e">
        <f>SUM(B25,B24,B23)</f>
        <v>#VALUE!</v>
      </c>
    </row>
    <row r="27" spans="1:4" x14ac:dyDescent="0.2">
      <c r="A27" s="96" t="s">
        <v>171</v>
      </c>
      <c r="B27" s="101" t="e">
        <f>B23*Afaktor_vekst</f>
        <v>#VALUE!</v>
      </c>
    </row>
    <row r="28" spans="1:4" x14ac:dyDescent="0.2">
      <c r="A28" s="96" t="s">
        <v>172</v>
      </c>
      <c r="B28" s="101">
        <f>B24*Afaktor_vekst</f>
        <v>0</v>
      </c>
    </row>
    <row r="29" spans="1:4" x14ac:dyDescent="0.2">
      <c r="A29" s="96" t="s">
        <v>173</v>
      </c>
      <c r="B29" s="101" t="e">
        <f>B25*Afaktor_vekst</f>
        <v>#VALUE!</v>
      </c>
    </row>
    <row r="30" spans="1:4" x14ac:dyDescent="0.2">
      <c r="A30" s="96" t="s">
        <v>254</v>
      </c>
      <c r="B30" s="101" t="e">
        <f>B26*Afaktor_vekst</f>
        <v>#VALUE!</v>
      </c>
    </row>
    <row r="31" spans="1:4" x14ac:dyDescent="0.2">
      <c r="B31" s="87"/>
    </row>
    <row r="32" spans="1:4" x14ac:dyDescent="0.2">
      <c r="A32" s="88" t="s">
        <v>144</v>
      </c>
    </row>
    <row r="33" spans="1:3" x14ac:dyDescent="0.2">
      <c r="A33" s="95" t="s">
        <v>142</v>
      </c>
      <c r="B33" s="101" t="e">
        <f>-B8*$B$20</f>
        <v>#VALUE!</v>
      </c>
      <c r="C33" s="89"/>
    </row>
    <row r="34" spans="1:3" x14ac:dyDescent="0.2">
      <c r="A34" s="96" t="s">
        <v>141</v>
      </c>
      <c r="B34" s="101" t="e">
        <f>-B9*Afaktor</f>
        <v>#VALUE!</v>
      </c>
      <c r="C34" s="89"/>
    </row>
    <row r="35" spans="1:3" x14ac:dyDescent="0.2">
      <c r="A35" s="95" t="s">
        <v>214</v>
      </c>
      <c r="B35" s="101" t="e">
        <f>B33+B34</f>
        <v>#VALUE!</v>
      </c>
    </row>
    <row r="36" spans="1:3" x14ac:dyDescent="0.2">
      <c r="A36" s="96" t="s">
        <v>174</v>
      </c>
      <c r="B36" s="101" t="e">
        <f>(1-B10)*B35*Skyggepris</f>
        <v>#VALUE!</v>
      </c>
    </row>
    <row r="37" spans="1:3" x14ac:dyDescent="0.2">
      <c r="A37" s="90"/>
      <c r="B37" s="90"/>
      <c r="C37" s="90"/>
    </row>
    <row r="38" spans="1:3" x14ac:dyDescent="0.2">
      <c r="A38" s="58" t="s">
        <v>7</v>
      </c>
      <c r="B38" s="59"/>
    </row>
    <row r="39" spans="1:3" x14ac:dyDescent="0.2">
      <c r="A39" s="96" t="s">
        <v>8</v>
      </c>
      <c r="B39" s="103" t="e">
        <f>B30+B35+B36</f>
        <v>#VALUE!</v>
      </c>
      <c r="C39" s="60" t="s">
        <v>175</v>
      </c>
    </row>
    <row r="40" spans="1:3" x14ac:dyDescent="0.2">
      <c r="B40" s="59"/>
    </row>
    <row r="41" spans="1:3" x14ac:dyDescent="0.2">
      <c r="A41" s="95" t="s">
        <v>178</v>
      </c>
      <c r="B41" s="104" t="e">
        <f>B39/-B35</f>
        <v>#VALUE!</v>
      </c>
      <c r="C41" s="60" t="s">
        <v>9</v>
      </c>
    </row>
  </sheetData>
  <sheetProtection algorithmName="SHA-512" hashValue="zWGqGJsnk8Zt8Ri4b9b0oFxmAUs9bJpupw8+W0Tigd2B1BmVZGjWmVUYdX7M23WIAiW31zQDmN2hds2F2t98tA==" saltValue="YmofwbkU639wFzJce1cLWA==" spinCount="100000" sheet="1" objects="1" scenarios="1" selectLockedCells="1"/>
  <protectedRanges>
    <protectedRange sqref="B13:B15 F1" name="Område1"/>
    <protectedRange sqref="B8:B12" name="Område1_1"/>
  </protectedRanges>
  <phoneticPr fontId="2" type="noConversion"/>
  <pageMargins left="0.78740157499999996" right="0.78740157499999996" top="0.984251969" bottom="0.984251969" header="0.5" footer="0.5"/>
  <pageSetup paperSize="9" scale="85" orientation="landscape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  <pageSetUpPr fitToPage="1"/>
  </sheetPr>
  <dimension ref="A1:D39"/>
  <sheetViews>
    <sheetView workbookViewId="0">
      <selection activeCell="B8" sqref="B8"/>
    </sheetView>
  </sheetViews>
  <sheetFormatPr baseColWidth="10" defaultRowHeight="12.75" x14ac:dyDescent="0.2"/>
  <cols>
    <col min="1" max="1" width="61.140625" style="60" bestFit="1" customWidth="1"/>
    <col min="2" max="2" width="15.28515625" style="60" customWidth="1"/>
    <col min="3" max="6" width="11.42578125" style="60"/>
    <col min="7" max="7" width="11.85546875" style="60" customWidth="1"/>
    <col min="8" max="16384" width="11.42578125" style="60"/>
  </cols>
  <sheetData>
    <row r="1" spans="1:4" ht="13.5" thickBot="1" x14ac:dyDescent="0.25">
      <c r="A1" s="58" t="s">
        <v>106</v>
      </c>
    </row>
    <row r="2" spans="1:4" x14ac:dyDescent="0.2">
      <c r="A2" s="61" t="s">
        <v>156</v>
      </c>
      <c r="B2" s="62"/>
      <c r="C2" s="63"/>
    </row>
    <row r="3" spans="1:4" x14ac:dyDescent="0.2">
      <c r="A3" s="65" t="s">
        <v>188</v>
      </c>
      <c r="B3" s="66">
        <f>Analyseperiode</f>
        <v>40</v>
      </c>
      <c r="C3" s="67" t="s">
        <v>104</v>
      </c>
    </row>
    <row r="4" spans="1:4" x14ac:dyDescent="0.2">
      <c r="A4" s="65" t="s">
        <v>189</v>
      </c>
      <c r="B4" s="68"/>
      <c r="C4" s="64"/>
    </row>
    <row r="5" spans="1:4" ht="13.5" thickBot="1" x14ac:dyDescent="0.25">
      <c r="A5" s="70" t="s">
        <v>215</v>
      </c>
      <c r="B5" s="71"/>
      <c r="C5" s="72"/>
    </row>
    <row r="6" spans="1:4" x14ac:dyDescent="0.2">
      <c r="A6" s="73"/>
      <c r="B6" s="74"/>
      <c r="C6" s="75"/>
    </row>
    <row r="7" spans="1:4" x14ac:dyDescent="0.2">
      <c r="A7" s="58" t="s">
        <v>13</v>
      </c>
      <c r="B7" s="59"/>
    </row>
    <row r="8" spans="1:4" x14ac:dyDescent="0.2">
      <c r="A8" s="96" t="s">
        <v>36</v>
      </c>
      <c r="B8" s="105" t="s">
        <v>40</v>
      </c>
      <c r="C8" s="60" t="s">
        <v>100</v>
      </c>
    </row>
    <row r="9" spans="1:4" x14ac:dyDescent="0.2">
      <c r="A9" s="96" t="s">
        <v>77</v>
      </c>
      <c r="B9" s="105" t="s">
        <v>40</v>
      </c>
      <c r="C9" s="60" t="s">
        <v>100</v>
      </c>
    </row>
    <row r="10" spans="1:4" x14ac:dyDescent="0.2">
      <c r="A10" s="96" t="s">
        <v>96</v>
      </c>
      <c r="B10" s="106" t="s">
        <v>40</v>
      </c>
      <c r="C10" s="60" t="s">
        <v>51</v>
      </c>
    </row>
    <row r="11" spans="1:4" x14ac:dyDescent="0.2">
      <c r="A11" s="96" t="s">
        <v>37</v>
      </c>
      <c r="B11" s="80">
        <f>Forutsetninger!G38</f>
        <v>15</v>
      </c>
    </row>
    <row r="12" spans="1:4" x14ac:dyDescent="0.2">
      <c r="A12" s="96" t="s">
        <v>113</v>
      </c>
      <c r="B12" s="106" t="s">
        <v>40</v>
      </c>
      <c r="C12" s="60" t="s">
        <v>51</v>
      </c>
      <c r="D12" s="107"/>
    </row>
    <row r="13" spans="1:4" x14ac:dyDescent="0.2">
      <c r="A13" s="96" t="s">
        <v>105</v>
      </c>
      <c r="B13" s="105" t="s">
        <v>40</v>
      </c>
      <c r="C13" s="60" t="s">
        <v>136</v>
      </c>
    </row>
    <row r="14" spans="1:4" x14ac:dyDescent="0.2">
      <c r="A14" s="96" t="s">
        <v>187</v>
      </c>
      <c r="B14" s="105" t="s">
        <v>40</v>
      </c>
      <c r="C14" s="60" t="s">
        <v>103</v>
      </c>
    </row>
    <row r="15" spans="1:4" x14ac:dyDescent="0.2">
      <c r="A15" s="96" t="s">
        <v>97</v>
      </c>
      <c r="B15" s="105" t="s">
        <v>40</v>
      </c>
    </row>
    <row r="16" spans="1:4" x14ac:dyDescent="0.2">
      <c r="B16" s="59"/>
    </row>
    <row r="17" spans="1:3" hidden="1" x14ac:dyDescent="0.2">
      <c r="A17" s="81" t="s">
        <v>111</v>
      </c>
      <c r="B17" s="82">
        <f>INT(Analyseperiode/B11)+1</f>
        <v>3</v>
      </c>
    </row>
    <row r="18" spans="1:3" hidden="1" x14ac:dyDescent="0.2">
      <c r="A18" s="81" t="s">
        <v>140</v>
      </c>
      <c r="B18" s="83">
        <f>(1-((1+Drente)^(-B11*B17)))/(1-((1+Drente)^(-B11)))+((Analyseperiode-(B11*B17))/(B11*((1+Drente)^Analyseperiode)))</f>
        <v>1.7941534891323816</v>
      </c>
    </row>
    <row r="19" spans="1:3" x14ac:dyDescent="0.2">
      <c r="A19" s="73"/>
      <c r="B19" s="84"/>
    </row>
    <row r="20" spans="1:3" x14ac:dyDescent="0.2">
      <c r="A20" s="58" t="s">
        <v>143</v>
      </c>
      <c r="B20" s="59"/>
    </row>
    <row r="21" spans="1:3" x14ac:dyDescent="0.2">
      <c r="A21" s="95" t="s">
        <v>10</v>
      </c>
      <c r="B21" s="100" t="e">
        <f>B13*(B14/60)*Forutsetninger!D12*B12</f>
        <v>#VALUE!</v>
      </c>
    </row>
    <row r="22" spans="1:3" x14ac:dyDescent="0.2">
      <c r="A22" s="96" t="s">
        <v>112</v>
      </c>
      <c r="B22" s="101">
        <v>0</v>
      </c>
    </row>
    <row r="23" spans="1:3" x14ac:dyDescent="0.2">
      <c r="A23" s="96" t="s">
        <v>14</v>
      </c>
      <c r="B23" s="101" t="e">
        <f>B15*B12*(B14/60)*Forutsetninger!D38</f>
        <v>#VALUE!</v>
      </c>
    </row>
    <row r="24" spans="1:3" x14ac:dyDescent="0.2">
      <c r="A24" s="96" t="s">
        <v>47</v>
      </c>
      <c r="B24" s="101" t="e">
        <f>SUM(B23,B22,B21)</f>
        <v>#VALUE!</v>
      </c>
    </row>
    <row r="25" spans="1:3" x14ac:dyDescent="0.2">
      <c r="A25" s="96" t="s">
        <v>171</v>
      </c>
      <c r="B25" s="101" t="e">
        <f>B21*Afaktor_vekst</f>
        <v>#VALUE!</v>
      </c>
    </row>
    <row r="26" spans="1:3" x14ac:dyDescent="0.2">
      <c r="A26" s="96" t="s">
        <v>172</v>
      </c>
      <c r="B26" s="101">
        <f>B22*Afaktor_vekst</f>
        <v>0</v>
      </c>
    </row>
    <row r="27" spans="1:3" x14ac:dyDescent="0.2">
      <c r="A27" s="96" t="s">
        <v>173</v>
      </c>
      <c r="B27" s="101" t="e">
        <f>B23*Afaktor_vekst</f>
        <v>#VALUE!</v>
      </c>
    </row>
    <row r="28" spans="1:3" x14ac:dyDescent="0.2">
      <c r="A28" s="96" t="s">
        <v>254</v>
      </c>
      <c r="B28" s="101" t="e">
        <f>B24*Afaktor_vekst</f>
        <v>#VALUE!</v>
      </c>
    </row>
    <row r="29" spans="1:3" x14ac:dyDescent="0.2">
      <c r="B29" s="87"/>
    </row>
    <row r="30" spans="1:3" x14ac:dyDescent="0.2">
      <c r="A30" s="88" t="s">
        <v>144</v>
      </c>
    </row>
    <row r="31" spans="1:3" x14ac:dyDescent="0.2">
      <c r="A31" s="95" t="s">
        <v>142</v>
      </c>
      <c r="B31" s="101" t="e">
        <f>-B8*$B$18</f>
        <v>#VALUE!</v>
      </c>
      <c r="C31" s="89"/>
    </row>
    <row r="32" spans="1:3" x14ac:dyDescent="0.2">
      <c r="A32" s="96" t="s">
        <v>141</v>
      </c>
      <c r="B32" s="101" t="e">
        <f>-B9*Afaktor</f>
        <v>#VALUE!</v>
      </c>
      <c r="C32" s="89"/>
    </row>
    <row r="33" spans="1:3" x14ac:dyDescent="0.2">
      <c r="A33" s="95" t="s">
        <v>214</v>
      </c>
      <c r="B33" s="101" t="e">
        <f>B31+B32</f>
        <v>#VALUE!</v>
      </c>
    </row>
    <row r="34" spans="1:3" x14ac:dyDescent="0.2">
      <c r="A34" s="96" t="s">
        <v>174</v>
      </c>
      <c r="B34" s="101" t="e">
        <f>(1-B10)*B33*Skyggepris</f>
        <v>#VALUE!</v>
      </c>
    </row>
    <row r="35" spans="1:3" x14ac:dyDescent="0.2">
      <c r="A35" s="90"/>
      <c r="B35" s="90"/>
      <c r="C35" s="90"/>
    </row>
    <row r="36" spans="1:3" x14ac:dyDescent="0.2">
      <c r="A36" s="58" t="s">
        <v>7</v>
      </c>
      <c r="B36" s="59"/>
    </row>
    <row r="37" spans="1:3" x14ac:dyDescent="0.2">
      <c r="A37" s="96" t="s">
        <v>8</v>
      </c>
      <c r="B37" s="103" t="e">
        <f>B28+B33+B34</f>
        <v>#VALUE!</v>
      </c>
      <c r="C37" s="60" t="s">
        <v>175</v>
      </c>
    </row>
    <row r="38" spans="1:3" x14ac:dyDescent="0.2">
      <c r="B38" s="59"/>
    </row>
    <row r="39" spans="1:3" x14ac:dyDescent="0.2">
      <c r="A39" s="95" t="s">
        <v>178</v>
      </c>
      <c r="B39" s="104" t="e">
        <f>B37/-B33</f>
        <v>#VALUE!</v>
      </c>
      <c r="C39" s="60" t="s">
        <v>9</v>
      </c>
    </row>
  </sheetData>
  <sheetProtection algorithmName="SHA-512" hashValue="Z8SdRbIOEIycdw0u+SqiNtnro9ymmV3j8XTiS1Vl7+YUEeWTMzqt8zm0dgr/LhcNRFECHJSaYDHFrqliNljEJg==" saltValue="pzc7JocMu5RhPXk0lrURUQ==" spinCount="100000" sheet="1" objects="1" scenarios="1" selectLockedCells="1"/>
  <protectedRanges>
    <protectedRange sqref="B12:B15" name="Område1"/>
    <protectedRange sqref="B8:B11" name="Område1_1"/>
  </protectedRanges>
  <phoneticPr fontId="2" type="noConversion"/>
  <pageMargins left="0.78740157499999996" right="0.78740157499999996" top="0.984251969" bottom="0.984251969" header="0.5" footer="0.5"/>
  <pageSetup paperSize="9" scale="9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4">
    <tabColor indexed="44"/>
    <pageSetUpPr fitToPage="1"/>
  </sheetPr>
  <dimension ref="A1:J37"/>
  <sheetViews>
    <sheetView workbookViewId="0">
      <selection activeCell="B8" sqref="B8"/>
    </sheetView>
  </sheetViews>
  <sheetFormatPr baseColWidth="10" defaultRowHeight="12.75" x14ac:dyDescent="0.2"/>
  <cols>
    <col min="1" max="1" width="46.5703125" style="60" customWidth="1"/>
    <col min="2" max="2" width="15.28515625" style="59" customWidth="1"/>
    <col min="3" max="5" width="11.42578125" style="60"/>
    <col min="6" max="6" width="26" style="60" customWidth="1"/>
    <col min="7" max="16384" width="11.42578125" style="60"/>
  </cols>
  <sheetData>
    <row r="1" spans="1:10" ht="13.5" thickBot="1" x14ac:dyDescent="0.25">
      <c r="A1" s="58" t="s">
        <v>160</v>
      </c>
    </row>
    <row r="2" spans="1:10" x14ac:dyDescent="0.2">
      <c r="A2" s="61" t="s">
        <v>156</v>
      </c>
      <c r="B2" s="62"/>
      <c r="C2" s="63"/>
      <c r="E2" s="75"/>
      <c r="F2" s="75"/>
      <c r="G2" s="75"/>
      <c r="H2" s="75"/>
      <c r="I2" s="75"/>
      <c r="J2" s="75"/>
    </row>
    <row r="3" spans="1:10" x14ac:dyDescent="0.2">
      <c r="A3" s="65" t="s">
        <v>188</v>
      </c>
      <c r="B3" s="66">
        <f>Analyseperiode</f>
        <v>40</v>
      </c>
      <c r="C3" s="67" t="s">
        <v>104</v>
      </c>
      <c r="E3" s="75"/>
      <c r="F3" s="75"/>
      <c r="G3" s="94"/>
      <c r="H3" s="75"/>
      <c r="I3" s="75"/>
      <c r="J3" s="75"/>
    </row>
    <row r="4" spans="1:10" x14ac:dyDescent="0.2">
      <c r="A4" s="65" t="s">
        <v>189</v>
      </c>
      <c r="B4" s="68"/>
      <c r="C4" s="64"/>
      <c r="E4" s="75"/>
      <c r="F4" s="75"/>
      <c r="G4" s="94"/>
      <c r="H4" s="75"/>
      <c r="I4" s="75"/>
      <c r="J4" s="75"/>
    </row>
    <row r="5" spans="1:10" ht="13.5" thickBot="1" x14ac:dyDescent="0.25">
      <c r="A5" s="70" t="s">
        <v>215</v>
      </c>
      <c r="B5" s="71"/>
      <c r="C5" s="72"/>
      <c r="E5" s="75"/>
      <c r="F5" s="75"/>
      <c r="G5" s="94"/>
      <c r="H5" s="75"/>
      <c r="I5" s="75"/>
      <c r="J5" s="75"/>
    </row>
    <row r="6" spans="1:10" x14ac:dyDescent="0.2">
      <c r="A6" s="73"/>
      <c r="B6" s="74"/>
      <c r="C6" s="75"/>
      <c r="E6" s="75"/>
      <c r="F6" s="75"/>
      <c r="G6" s="94"/>
      <c r="H6" s="75"/>
      <c r="I6" s="75"/>
      <c r="J6" s="75"/>
    </row>
    <row r="7" spans="1:10" x14ac:dyDescent="0.2">
      <c r="A7" s="58" t="s">
        <v>13</v>
      </c>
      <c r="E7" s="75"/>
      <c r="F7" s="75"/>
      <c r="G7" s="94"/>
      <c r="H7" s="75"/>
      <c r="I7" s="75"/>
      <c r="J7" s="75"/>
    </row>
    <row r="8" spans="1:10" x14ac:dyDescent="0.2">
      <c r="A8" s="95" t="s">
        <v>216</v>
      </c>
      <c r="B8" s="77" t="s">
        <v>40</v>
      </c>
      <c r="E8" s="75"/>
      <c r="F8" s="75"/>
      <c r="G8" s="94"/>
      <c r="H8" s="75"/>
      <c r="I8" s="75"/>
      <c r="J8" s="75"/>
    </row>
    <row r="9" spans="1:10" x14ac:dyDescent="0.2">
      <c r="A9" s="95" t="s">
        <v>217</v>
      </c>
      <c r="B9" s="77" t="s">
        <v>40</v>
      </c>
      <c r="E9" s="75"/>
      <c r="F9" s="94"/>
      <c r="G9" s="94"/>
      <c r="H9" s="75"/>
      <c r="I9" s="75"/>
      <c r="J9" s="75"/>
    </row>
    <row r="10" spans="1:10" x14ac:dyDescent="0.2">
      <c r="A10" s="96" t="s">
        <v>96</v>
      </c>
      <c r="B10" s="79">
        <v>0</v>
      </c>
      <c r="E10" s="75"/>
      <c r="F10" s="94"/>
      <c r="G10" s="94"/>
      <c r="H10" s="75"/>
      <c r="I10" s="75"/>
      <c r="J10" s="75"/>
    </row>
    <row r="11" spans="1:10" x14ac:dyDescent="0.2">
      <c r="A11" s="96" t="s">
        <v>37</v>
      </c>
      <c r="B11" s="80">
        <f>Forutsetninger!G14</f>
        <v>12</v>
      </c>
      <c r="E11" s="75"/>
      <c r="F11" s="75"/>
      <c r="G11" s="97"/>
      <c r="H11" s="75"/>
      <c r="I11" s="75"/>
      <c r="J11" s="75"/>
    </row>
    <row r="12" spans="1:10" x14ac:dyDescent="0.2">
      <c r="A12" s="95" t="s">
        <v>197</v>
      </c>
      <c r="B12" s="77" t="s">
        <v>40</v>
      </c>
      <c r="E12" s="75"/>
      <c r="F12" s="88"/>
      <c r="G12" s="74"/>
      <c r="H12" s="75"/>
      <c r="I12" s="75"/>
      <c r="J12" s="75"/>
    </row>
    <row r="13" spans="1:10" x14ac:dyDescent="0.2">
      <c r="E13" s="75"/>
      <c r="F13" s="73"/>
      <c r="G13" s="98"/>
      <c r="H13" s="75"/>
      <c r="I13" s="75"/>
      <c r="J13" s="75"/>
    </row>
    <row r="14" spans="1:10" hidden="1" x14ac:dyDescent="0.2">
      <c r="E14" s="75"/>
      <c r="F14" s="75"/>
      <c r="G14" s="74"/>
      <c r="H14" s="75"/>
      <c r="I14" s="75"/>
      <c r="J14" s="75"/>
    </row>
    <row r="15" spans="1:10" hidden="1" x14ac:dyDescent="0.2">
      <c r="A15" s="81" t="s">
        <v>111</v>
      </c>
      <c r="B15" s="82">
        <f>INT(Analyseperiode/B11)+1</f>
        <v>4</v>
      </c>
      <c r="E15" s="75"/>
      <c r="F15" s="75"/>
      <c r="G15" s="97"/>
      <c r="H15" s="99"/>
      <c r="I15" s="75"/>
      <c r="J15" s="75"/>
    </row>
    <row r="16" spans="1:10" hidden="1" x14ac:dyDescent="0.2">
      <c r="A16" s="81" t="s">
        <v>140</v>
      </c>
      <c r="B16" s="83">
        <f>(1-((1+Drente)^(-B11*B15)))/(1-((1+Drente)^(-B11)))+((Analyseperiode-(B11*B15))/(B11*((1+Drente)^Analyseperiode)))</f>
        <v>2.1195278826687241</v>
      </c>
      <c r="E16" s="75"/>
      <c r="F16" s="75"/>
      <c r="G16" s="97"/>
      <c r="H16" s="99"/>
      <c r="I16" s="75"/>
      <c r="J16" s="75"/>
    </row>
    <row r="17" spans="1:10" x14ac:dyDescent="0.2">
      <c r="A17" s="73"/>
      <c r="B17" s="84"/>
      <c r="E17" s="75"/>
      <c r="F17" s="75"/>
      <c r="G17" s="97"/>
      <c r="H17" s="75"/>
      <c r="I17" s="75"/>
      <c r="J17" s="75"/>
    </row>
    <row r="18" spans="1:10" x14ac:dyDescent="0.2">
      <c r="A18" s="58" t="s">
        <v>143</v>
      </c>
      <c r="E18" s="75"/>
      <c r="F18" s="73"/>
      <c r="G18" s="97"/>
      <c r="H18" s="75"/>
      <c r="I18" s="75"/>
      <c r="J18" s="75"/>
    </row>
    <row r="19" spans="1:10" x14ac:dyDescent="0.2">
      <c r="A19" s="95" t="s">
        <v>10</v>
      </c>
      <c r="B19" s="100" t="e">
        <f>B12*Forutsetninger!D17</f>
        <v>#VALUE!</v>
      </c>
      <c r="E19" s="75"/>
      <c r="F19" s="75"/>
      <c r="G19" s="97"/>
      <c r="H19" s="75"/>
      <c r="I19" s="75"/>
      <c r="J19" s="75"/>
    </row>
    <row r="20" spans="1:10" x14ac:dyDescent="0.2">
      <c r="A20" s="96" t="s">
        <v>112</v>
      </c>
      <c r="B20" s="101">
        <v>0</v>
      </c>
      <c r="E20" s="75"/>
      <c r="F20" s="75"/>
      <c r="G20" s="97"/>
      <c r="H20" s="75"/>
      <c r="I20" s="75"/>
      <c r="J20" s="75"/>
    </row>
    <row r="21" spans="1:10" x14ac:dyDescent="0.2">
      <c r="A21" s="96" t="s">
        <v>14</v>
      </c>
      <c r="B21" s="101">
        <v>0</v>
      </c>
      <c r="E21" s="75"/>
      <c r="F21" s="75"/>
      <c r="G21" s="74"/>
      <c r="H21" s="75"/>
      <c r="I21" s="75"/>
      <c r="J21" s="75"/>
    </row>
    <row r="22" spans="1:10" x14ac:dyDescent="0.2">
      <c r="A22" s="96" t="s">
        <v>47</v>
      </c>
      <c r="B22" s="101" t="e">
        <f>SUM(B21,B20,B19)</f>
        <v>#VALUE!</v>
      </c>
      <c r="E22" s="75"/>
      <c r="F22" s="88"/>
      <c r="G22" s="74"/>
      <c r="H22" s="75"/>
      <c r="I22" s="75"/>
      <c r="J22" s="75"/>
    </row>
    <row r="23" spans="1:10" x14ac:dyDescent="0.2">
      <c r="A23" s="96" t="s">
        <v>171</v>
      </c>
      <c r="B23" s="101" t="e">
        <f>B19*Afaktor_vekst</f>
        <v>#VALUE!</v>
      </c>
      <c r="E23" s="75"/>
      <c r="F23" s="75"/>
      <c r="G23" s="97"/>
      <c r="H23" s="75"/>
      <c r="I23" s="75"/>
      <c r="J23" s="75"/>
    </row>
    <row r="24" spans="1:10" x14ac:dyDescent="0.2">
      <c r="A24" s="96" t="s">
        <v>172</v>
      </c>
      <c r="B24" s="101">
        <f>B20*Afaktor_vekst</f>
        <v>0</v>
      </c>
      <c r="E24" s="75"/>
      <c r="F24" s="75"/>
      <c r="G24" s="74"/>
      <c r="H24" s="75"/>
      <c r="I24" s="75"/>
      <c r="J24" s="75"/>
    </row>
    <row r="25" spans="1:10" x14ac:dyDescent="0.2">
      <c r="A25" s="96" t="s">
        <v>173</v>
      </c>
      <c r="B25" s="101">
        <f>B21*Afaktor_vekst</f>
        <v>0</v>
      </c>
      <c r="E25" s="75"/>
      <c r="F25" s="75"/>
      <c r="G25" s="102"/>
      <c r="H25" s="75"/>
      <c r="I25" s="75"/>
      <c r="J25" s="75"/>
    </row>
    <row r="26" spans="1:10" x14ac:dyDescent="0.2">
      <c r="A26" s="96" t="s">
        <v>254</v>
      </c>
      <c r="B26" s="101" t="e">
        <f>B22*Afaktor_vekst</f>
        <v>#VALUE!</v>
      </c>
      <c r="E26" s="75"/>
      <c r="F26" s="75"/>
      <c r="G26" s="75"/>
      <c r="H26" s="75"/>
      <c r="I26" s="75"/>
      <c r="J26" s="75"/>
    </row>
    <row r="27" spans="1:10" x14ac:dyDescent="0.2">
      <c r="B27" s="87"/>
      <c r="E27" s="75"/>
      <c r="F27" s="75"/>
      <c r="G27" s="75"/>
      <c r="H27" s="75"/>
      <c r="I27" s="75"/>
      <c r="J27" s="75"/>
    </row>
    <row r="28" spans="1:10" x14ac:dyDescent="0.2">
      <c r="A28" s="88" t="s">
        <v>144</v>
      </c>
      <c r="B28" s="60"/>
      <c r="E28" s="75"/>
      <c r="F28" s="75"/>
      <c r="G28" s="75"/>
      <c r="H28" s="75"/>
      <c r="I28" s="75"/>
      <c r="J28" s="75"/>
    </row>
    <row r="29" spans="1:10" x14ac:dyDescent="0.2">
      <c r="A29" s="95" t="s">
        <v>142</v>
      </c>
      <c r="B29" s="101" t="e">
        <f>-B8*$B$16</f>
        <v>#VALUE!</v>
      </c>
      <c r="C29" s="89"/>
    </row>
    <row r="30" spans="1:10" x14ac:dyDescent="0.2">
      <c r="A30" s="96" t="s">
        <v>141</v>
      </c>
      <c r="B30" s="101" t="e">
        <f>-B9*Afaktor</f>
        <v>#VALUE!</v>
      </c>
      <c r="C30" s="89"/>
    </row>
    <row r="31" spans="1:10" x14ac:dyDescent="0.2">
      <c r="A31" s="95" t="s">
        <v>214</v>
      </c>
      <c r="B31" s="101" t="e">
        <f>B29+B30</f>
        <v>#VALUE!</v>
      </c>
    </row>
    <row r="32" spans="1:10" x14ac:dyDescent="0.2">
      <c r="A32" s="96" t="s">
        <v>174</v>
      </c>
      <c r="B32" s="101" t="e">
        <f>(1-B10)*B31*Skyggepris</f>
        <v>#VALUE!</v>
      </c>
    </row>
    <row r="33" spans="1:3" x14ac:dyDescent="0.2">
      <c r="A33" s="90"/>
      <c r="B33" s="91"/>
      <c r="C33" s="90"/>
    </row>
    <row r="34" spans="1:3" x14ac:dyDescent="0.2">
      <c r="A34" s="58" t="s">
        <v>7</v>
      </c>
    </row>
    <row r="35" spans="1:3" x14ac:dyDescent="0.2">
      <c r="A35" s="96" t="s">
        <v>8</v>
      </c>
      <c r="B35" s="103" t="e">
        <f>B26+B31+B32</f>
        <v>#VALUE!</v>
      </c>
      <c r="C35" s="60" t="s">
        <v>175</v>
      </c>
    </row>
    <row r="37" spans="1:3" x14ac:dyDescent="0.2">
      <c r="A37" s="95" t="s">
        <v>178</v>
      </c>
      <c r="B37" s="104" t="e">
        <f>B35/-B31</f>
        <v>#VALUE!</v>
      </c>
      <c r="C37" s="60" t="s">
        <v>9</v>
      </c>
    </row>
  </sheetData>
  <sheetProtection algorithmName="SHA-512" hashValue="TNv8Yg8AdJgEXPdUvORvz/mpyTOqGjOeeO0JZy0NzqHxUi+xuevnvIVNy/WH/d4/ivKZj06WcKUSRvkEIUxWPQ==" saltValue="UvmVe3vMIymuBp68iPGfGQ==" spinCount="100000" sheet="1" objects="1" scenarios="1" selectLockedCells="1"/>
  <protectedRanges>
    <protectedRange sqref="G5:G6" name="Område1"/>
    <protectedRange sqref="G3" name="Område1_2"/>
    <protectedRange sqref="G4" name="Område1_3"/>
    <protectedRange sqref="G7" name="Område1_4"/>
    <protectedRange sqref="B8:B12" name="Område1_1"/>
  </protectedRanges>
  <phoneticPr fontId="2" type="noConversion"/>
  <pageMargins left="0.78740157499999996" right="0.78740157499999996" top="0.984251969" bottom="0.984251969" header="0.5" footer="0.5"/>
  <pageSetup paperSize="9" scale="8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A1:J37"/>
  <sheetViews>
    <sheetView workbookViewId="0">
      <selection activeCell="B8" sqref="B8"/>
    </sheetView>
  </sheetViews>
  <sheetFormatPr baseColWidth="10" defaultRowHeight="12.75" x14ac:dyDescent="0.2"/>
  <cols>
    <col min="1" max="1" width="46.5703125" style="60" customWidth="1"/>
    <col min="2" max="2" width="15.28515625" style="59" customWidth="1"/>
    <col min="3" max="5" width="11.42578125" style="60"/>
    <col min="6" max="6" width="26" style="60" customWidth="1"/>
    <col min="7" max="16384" width="11.42578125" style="60"/>
  </cols>
  <sheetData>
    <row r="1" spans="1:10" ht="13.5" thickBot="1" x14ac:dyDescent="0.25">
      <c r="A1" s="58" t="s">
        <v>162</v>
      </c>
    </row>
    <row r="2" spans="1:10" x14ac:dyDescent="0.2">
      <c r="A2" s="61" t="s">
        <v>156</v>
      </c>
      <c r="B2" s="62"/>
      <c r="C2" s="63"/>
      <c r="E2" s="75"/>
      <c r="F2" s="75"/>
      <c r="G2" s="75"/>
      <c r="H2" s="75"/>
      <c r="I2" s="75"/>
      <c r="J2" s="75"/>
    </row>
    <row r="3" spans="1:10" x14ac:dyDescent="0.2">
      <c r="A3" s="65" t="s">
        <v>188</v>
      </c>
      <c r="B3" s="66">
        <f>Analyseperiode</f>
        <v>40</v>
      </c>
      <c r="C3" s="67" t="s">
        <v>104</v>
      </c>
      <c r="E3" s="75"/>
      <c r="F3" s="75"/>
      <c r="G3" s="94"/>
      <c r="H3" s="75"/>
      <c r="I3" s="75"/>
      <c r="J3" s="75"/>
    </row>
    <row r="4" spans="1:10" x14ac:dyDescent="0.2">
      <c r="A4" s="65" t="s">
        <v>189</v>
      </c>
      <c r="B4" s="68"/>
      <c r="C4" s="64"/>
      <c r="E4" s="75"/>
      <c r="F4" s="75"/>
      <c r="G4" s="94"/>
      <c r="H4" s="75"/>
      <c r="I4" s="75"/>
      <c r="J4" s="75"/>
    </row>
    <row r="5" spans="1:10" ht="13.5" thickBot="1" x14ac:dyDescent="0.25">
      <c r="A5" s="70" t="s">
        <v>215</v>
      </c>
      <c r="B5" s="71"/>
      <c r="C5" s="72"/>
      <c r="E5" s="75"/>
      <c r="F5" s="75"/>
      <c r="G5" s="94"/>
      <c r="H5" s="75"/>
      <c r="I5" s="75"/>
      <c r="J5" s="75"/>
    </row>
    <row r="6" spans="1:10" x14ac:dyDescent="0.2">
      <c r="A6" s="73"/>
      <c r="B6" s="74"/>
      <c r="C6" s="75"/>
      <c r="E6" s="75"/>
      <c r="F6" s="75"/>
      <c r="G6" s="94"/>
      <c r="H6" s="75"/>
      <c r="I6" s="75"/>
      <c r="J6" s="75"/>
    </row>
    <row r="7" spans="1:10" x14ac:dyDescent="0.2">
      <c r="A7" s="58" t="s">
        <v>13</v>
      </c>
      <c r="E7" s="75"/>
      <c r="F7" s="75"/>
      <c r="G7" s="94"/>
      <c r="H7" s="75"/>
      <c r="I7" s="75"/>
      <c r="J7" s="75"/>
    </row>
    <row r="8" spans="1:10" x14ac:dyDescent="0.2">
      <c r="A8" s="95" t="s">
        <v>216</v>
      </c>
      <c r="B8" s="77" t="s">
        <v>40</v>
      </c>
      <c r="E8" s="75"/>
      <c r="F8" s="75"/>
      <c r="G8" s="94"/>
      <c r="H8" s="75"/>
      <c r="I8" s="75"/>
      <c r="J8" s="75"/>
    </row>
    <row r="9" spans="1:10" x14ac:dyDescent="0.2">
      <c r="A9" s="95" t="s">
        <v>217</v>
      </c>
      <c r="B9" s="77" t="s">
        <v>40</v>
      </c>
      <c r="E9" s="75"/>
      <c r="F9" s="94"/>
      <c r="G9" s="94"/>
      <c r="H9" s="75"/>
      <c r="I9" s="75"/>
      <c r="J9" s="75"/>
    </row>
    <row r="10" spans="1:10" x14ac:dyDescent="0.2">
      <c r="A10" s="96" t="s">
        <v>96</v>
      </c>
      <c r="B10" s="79">
        <v>0</v>
      </c>
      <c r="E10" s="75"/>
      <c r="F10" s="94"/>
      <c r="G10" s="94"/>
      <c r="H10" s="75"/>
      <c r="I10" s="75"/>
      <c r="J10" s="75"/>
    </row>
    <row r="11" spans="1:10" x14ac:dyDescent="0.2">
      <c r="A11" s="96" t="s">
        <v>37</v>
      </c>
      <c r="B11" s="152">
        <f>Forutsetninger!G15</f>
        <v>12</v>
      </c>
      <c r="E11" s="75"/>
      <c r="F11" s="75"/>
      <c r="G11" s="97"/>
      <c r="H11" s="75"/>
      <c r="I11" s="75"/>
      <c r="J11" s="75"/>
    </row>
    <row r="12" spans="1:10" x14ac:dyDescent="0.2">
      <c r="A12" s="95" t="s">
        <v>197</v>
      </c>
      <c r="B12" s="77" t="s">
        <v>40</v>
      </c>
      <c r="E12" s="75"/>
      <c r="F12" s="88"/>
      <c r="G12" s="74"/>
      <c r="H12" s="75"/>
      <c r="I12" s="75"/>
      <c r="J12" s="75"/>
    </row>
    <row r="13" spans="1:10" x14ac:dyDescent="0.2">
      <c r="E13" s="75"/>
      <c r="F13" s="73"/>
      <c r="G13" s="98"/>
      <c r="H13" s="75"/>
      <c r="I13" s="75"/>
      <c r="J13" s="75"/>
    </row>
    <row r="14" spans="1:10" hidden="1" x14ac:dyDescent="0.2">
      <c r="E14" s="75"/>
      <c r="F14" s="75"/>
      <c r="G14" s="74"/>
      <c r="H14" s="75"/>
      <c r="I14" s="75"/>
      <c r="J14" s="75"/>
    </row>
    <row r="15" spans="1:10" hidden="1" x14ac:dyDescent="0.2">
      <c r="A15" s="81" t="s">
        <v>111</v>
      </c>
      <c r="B15" s="82">
        <f>INT(Analyseperiode/B11)+1</f>
        <v>4</v>
      </c>
      <c r="E15" s="75"/>
      <c r="F15" s="75"/>
      <c r="G15" s="97"/>
      <c r="H15" s="99"/>
      <c r="I15" s="75"/>
      <c r="J15" s="75"/>
    </row>
    <row r="16" spans="1:10" hidden="1" x14ac:dyDescent="0.2">
      <c r="A16" s="81" t="s">
        <v>140</v>
      </c>
      <c r="B16" s="83">
        <f>(1-((1+Drente)^(-B11*B15)))/(1-((1+Drente)^(-B11)))+((Analyseperiode-(B11*B15))/(B11*((1+Drente)^Analyseperiode)))</f>
        <v>2.1195278826687241</v>
      </c>
      <c r="E16" s="75"/>
      <c r="F16" s="75"/>
      <c r="G16" s="97"/>
      <c r="H16" s="99"/>
      <c r="I16" s="75"/>
      <c r="J16" s="75"/>
    </row>
    <row r="17" spans="1:10" x14ac:dyDescent="0.2">
      <c r="A17" s="73"/>
      <c r="B17" s="84"/>
      <c r="E17" s="75"/>
      <c r="F17" s="75"/>
      <c r="G17" s="97"/>
      <c r="H17" s="75"/>
      <c r="I17" s="75"/>
      <c r="J17" s="75"/>
    </row>
    <row r="18" spans="1:10" x14ac:dyDescent="0.2">
      <c r="A18" s="58" t="s">
        <v>143</v>
      </c>
      <c r="E18" s="75"/>
      <c r="F18" s="73"/>
      <c r="G18" s="97"/>
      <c r="H18" s="75"/>
      <c r="I18" s="75"/>
      <c r="J18" s="75"/>
    </row>
    <row r="19" spans="1:10" x14ac:dyDescent="0.2">
      <c r="A19" s="95" t="s">
        <v>10</v>
      </c>
      <c r="B19" s="100" t="e">
        <f>B12*Forutsetninger!D16</f>
        <v>#VALUE!</v>
      </c>
      <c r="E19" s="75"/>
      <c r="F19" s="75"/>
      <c r="G19" s="97"/>
      <c r="H19" s="75"/>
      <c r="I19" s="75"/>
      <c r="J19" s="75"/>
    </row>
    <row r="20" spans="1:10" x14ac:dyDescent="0.2">
      <c r="A20" s="96" t="s">
        <v>112</v>
      </c>
      <c r="B20" s="101">
        <v>0</v>
      </c>
      <c r="E20" s="75"/>
      <c r="F20" s="75"/>
      <c r="G20" s="97"/>
      <c r="H20" s="75"/>
      <c r="I20" s="75"/>
      <c r="J20" s="75"/>
    </row>
    <row r="21" spans="1:10" x14ac:dyDescent="0.2">
      <c r="A21" s="96" t="s">
        <v>14</v>
      </c>
      <c r="B21" s="101">
        <v>0</v>
      </c>
      <c r="E21" s="75"/>
      <c r="F21" s="75"/>
      <c r="G21" s="74"/>
      <c r="H21" s="75"/>
      <c r="I21" s="75"/>
      <c r="J21" s="75"/>
    </row>
    <row r="22" spans="1:10" x14ac:dyDescent="0.2">
      <c r="A22" s="96" t="s">
        <v>47</v>
      </c>
      <c r="B22" s="101" t="e">
        <f>SUM(B21,B20,B19)</f>
        <v>#VALUE!</v>
      </c>
      <c r="E22" s="75"/>
      <c r="F22" s="88"/>
      <c r="G22" s="74"/>
      <c r="H22" s="75"/>
      <c r="I22" s="75"/>
      <c r="J22" s="75"/>
    </row>
    <row r="23" spans="1:10" x14ac:dyDescent="0.2">
      <c r="A23" s="96" t="s">
        <v>171</v>
      </c>
      <c r="B23" s="101" t="e">
        <f>B19*Afaktor_vekst</f>
        <v>#VALUE!</v>
      </c>
      <c r="E23" s="75"/>
      <c r="F23" s="75"/>
      <c r="G23" s="97"/>
      <c r="H23" s="75"/>
      <c r="I23" s="75"/>
      <c r="J23" s="75"/>
    </row>
    <row r="24" spans="1:10" x14ac:dyDescent="0.2">
      <c r="A24" s="96" t="s">
        <v>172</v>
      </c>
      <c r="B24" s="101">
        <f>B20*Afaktor_vekst</f>
        <v>0</v>
      </c>
      <c r="E24" s="75"/>
      <c r="F24" s="75"/>
      <c r="G24" s="74"/>
      <c r="H24" s="75"/>
      <c r="I24" s="75"/>
      <c r="J24" s="75"/>
    </row>
    <row r="25" spans="1:10" x14ac:dyDescent="0.2">
      <c r="A25" s="96" t="s">
        <v>173</v>
      </c>
      <c r="B25" s="101">
        <f>B21*Afaktor_vekst</f>
        <v>0</v>
      </c>
      <c r="E25" s="75"/>
      <c r="F25" s="75"/>
      <c r="G25" s="102"/>
      <c r="H25" s="75"/>
      <c r="I25" s="75"/>
      <c r="J25" s="75"/>
    </row>
    <row r="26" spans="1:10" x14ac:dyDescent="0.2">
      <c r="A26" s="96" t="s">
        <v>254</v>
      </c>
      <c r="B26" s="101" t="e">
        <f>B22*Afaktor_vekst</f>
        <v>#VALUE!</v>
      </c>
      <c r="E26" s="75"/>
      <c r="F26" s="75"/>
      <c r="G26" s="75"/>
      <c r="H26" s="75"/>
      <c r="I26" s="75"/>
      <c r="J26" s="75"/>
    </row>
    <row r="27" spans="1:10" x14ac:dyDescent="0.2">
      <c r="B27" s="87"/>
      <c r="E27" s="75"/>
      <c r="F27" s="75"/>
      <c r="G27" s="75"/>
      <c r="H27" s="75"/>
      <c r="I27" s="75"/>
      <c r="J27" s="75"/>
    </row>
    <row r="28" spans="1:10" x14ac:dyDescent="0.2">
      <c r="A28" s="88" t="s">
        <v>144</v>
      </c>
      <c r="B28" s="60"/>
      <c r="E28" s="75"/>
      <c r="F28" s="75"/>
      <c r="G28" s="75"/>
      <c r="H28" s="75"/>
      <c r="I28" s="75"/>
      <c r="J28" s="75"/>
    </row>
    <row r="29" spans="1:10" x14ac:dyDescent="0.2">
      <c r="A29" s="95" t="s">
        <v>142</v>
      </c>
      <c r="B29" s="101" t="e">
        <f>-B8*$B$16</f>
        <v>#VALUE!</v>
      </c>
      <c r="C29" s="89"/>
    </row>
    <row r="30" spans="1:10" x14ac:dyDescent="0.2">
      <c r="A30" s="96" t="s">
        <v>141</v>
      </c>
      <c r="B30" s="101" t="e">
        <f>-B9*Afaktor</f>
        <v>#VALUE!</v>
      </c>
      <c r="C30" s="89"/>
    </row>
    <row r="31" spans="1:10" x14ac:dyDescent="0.2">
      <c r="A31" s="95" t="s">
        <v>214</v>
      </c>
      <c r="B31" s="101" t="e">
        <f>B29+B30</f>
        <v>#VALUE!</v>
      </c>
    </row>
    <row r="32" spans="1:10" x14ac:dyDescent="0.2">
      <c r="A32" s="96" t="s">
        <v>174</v>
      </c>
      <c r="B32" s="101" t="e">
        <f>(1-B10)*B31*Skyggepris</f>
        <v>#VALUE!</v>
      </c>
    </row>
    <row r="33" spans="1:3" x14ac:dyDescent="0.2">
      <c r="A33" s="90"/>
      <c r="B33" s="91"/>
      <c r="C33" s="90"/>
    </row>
    <row r="34" spans="1:3" x14ac:dyDescent="0.2">
      <c r="A34" s="58" t="s">
        <v>7</v>
      </c>
    </row>
    <row r="35" spans="1:3" x14ac:dyDescent="0.2">
      <c r="A35" s="96" t="s">
        <v>8</v>
      </c>
      <c r="B35" s="103" t="e">
        <f>B26+B31+B32</f>
        <v>#VALUE!</v>
      </c>
      <c r="C35" s="60" t="s">
        <v>175</v>
      </c>
    </row>
    <row r="37" spans="1:3" x14ac:dyDescent="0.2">
      <c r="A37" s="95" t="s">
        <v>178</v>
      </c>
      <c r="B37" s="104" t="e">
        <f>B35/-B31</f>
        <v>#VALUE!</v>
      </c>
      <c r="C37" s="60" t="s">
        <v>9</v>
      </c>
    </row>
  </sheetData>
  <sheetProtection algorithmName="SHA-512" hashValue="ITQzvICXfefUiAIUGeEroJICI9zbS1ZfYim/JD52KU17P+vPd091Hzgznik6s1ty2hsROw0y53twzxLWJ8IqNQ==" saltValue="5U6SVv3vdjWrb/+vn0NaMg==" spinCount="100000" sheet="1" objects="1" scenarios="1" selectLockedCells="1"/>
  <protectedRanges>
    <protectedRange sqref="G5:G6" name="Område1_1"/>
    <protectedRange sqref="G3" name="Område1_2"/>
    <protectedRange sqref="G4" name="Område1_3"/>
    <protectedRange sqref="G7" name="Område1_4"/>
    <protectedRange sqref="B8:B12" name="Område1_1_1"/>
  </protectedRange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A1:J41"/>
  <sheetViews>
    <sheetView zoomScaleNormal="100" workbookViewId="0">
      <selection activeCell="B8" sqref="B8"/>
    </sheetView>
  </sheetViews>
  <sheetFormatPr baseColWidth="10" defaultRowHeight="12.75" x14ac:dyDescent="0.2"/>
  <cols>
    <col min="1" max="1" width="46.5703125" style="60" customWidth="1"/>
    <col min="2" max="2" width="15.28515625" style="59" customWidth="1"/>
    <col min="3" max="5" width="11.42578125" style="60"/>
    <col min="6" max="6" width="26" style="60" customWidth="1"/>
    <col min="7" max="16384" width="11.42578125" style="60"/>
  </cols>
  <sheetData>
    <row r="1" spans="1:10" ht="13.5" thickBot="1" x14ac:dyDescent="0.25">
      <c r="A1" s="58" t="s">
        <v>251</v>
      </c>
    </row>
    <row r="2" spans="1:10" x14ac:dyDescent="0.2">
      <c r="A2" s="61" t="s">
        <v>156</v>
      </c>
      <c r="B2" s="62"/>
      <c r="C2" s="63"/>
      <c r="E2" s="75"/>
      <c r="F2" s="75"/>
      <c r="G2" s="75"/>
      <c r="H2" s="75"/>
      <c r="I2" s="75"/>
      <c r="J2" s="75"/>
    </row>
    <row r="3" spans="1:10" x14ac:dyDescent="0.2">
      <c r="A3" s="65" t="s">
        <v>188</v>
      </c>
      <c r="B3" s="66">
        <f>Analyseperiode</f>
        <v>40</v>
      </c>
      <c r="C3" s="67" t="s">
        <v>104</v>
      </c>
      <c r="E3" s="75"/>
      <c r="F3" s="75"/>
      <c r="G3" s="94"/>
      <c r="H3" s="75"/>
      <c r="I3" s="75"/>
      <c r="J3" s="75"/>
    </row>
    <row r="4" spans="1:10" x14ac:dyDescent="0.2">
      <c r="A4" s="65" t="s">
        <v>189</v>
      </c>
      <c r="B4" s="68"/>
      <c r="C4" s="64"/>
      <c r="E4" s="75"/>
      <c r="F4" s="75"/>
      <c r="G4" s="94"/>
      <c r="H4" s="75"/>
      <c r="I4" s="75"/>
      <c r="J4" s="75"/>
    </row>
    <row r="5" spans="1:10" ht="13.5" thickBot="1" x14ac:dyDescent="0.25">
      <c r="A5" s="70" t="s">
        <v>215</v>
      </c>
      <c r="B5" s="71"/>
      <c r="C5" s="72"/>
      <c r="E5" s="75"/>
      <c r="F5" s="75"/>
      <c r="G5" s="94"/>
      <c r="H5" s="75"/>
      <c r="I5" s="75"/>
      <c r="J5" s="75"/>
    </row>
    <row r="6" spans="1:10" x14ac:dyDescent="0.2">
      <c r="A6" s="73"/>
      <c r="B6" s="74"/>
      <c r="C6" s="75"/>
      <c r="E6" s="75"/>
      <c r="F6" s="75"/>
      <c r="G6" s="94"/>
      <c r="H6" s="75"/>
      <c r="I6" s="75"/>
      <c r="J6" s="75"/>
    </row>
    <row r="7" spans="1:10" x14ac:dyDescent="0.2">
      <c r="A7" s="58" t="s">
        <v>13</v>
      </c>
      <c r="E7" s="75"/>
      <c r="F7" s="75"/>
      <c r="G7" s="94"/>
      <c r="H7" s="75"/>
      <c r="I7" s="75"/>
      <c r="J7" s="75"/>
    </row>
    <row r="8" spans="1:10" x14ac:dyDescent="0.2">
      <c r="A8" s="95" t="s">
        <v>216</v>
      </c>
      <c r="B8" s="77" t="s">
        <v>40</v>
      </c>
      <c r="E8" s="75"/>
      <c r="F8" s="75"/>
      <c r="G8" s="94"/>
      <c r="H8" s="75"/>
      <c r="I8" s="75"/>
      <c r="J8" s="75"/>
    </row>
    <row r="9" spans="1:10" x14ac:dyDescent="0.2">
      <c r="A9" s="95" t="s">
        <v>217</v>
      </c>
      <c r="B9" s="77" t="s">
        <v>40</v>
      </c>
      <c r="E9" s="75"/>
      <c r="F9" s="94"/>
      <c r="G9" s="94"/>
      <c r="H9" s="75"/>
      <c r="I9" s="75"/>
      <c r="J9" s="75"/>
    </row>
    <row r="10" spans="1:10" x14ac:dyDescent="0.2">
      <c r="A10" s="96" t="s">
        <v>96</v>
      </c>
      <c r="B10" s="79">
        <v>0</v>
      </c>
      <c r="E10" s="75"/>
      <c r="F10" s="94"/>
      <c r="G10" s="94"/>
      <c r="H10" s="75"/>
      <c r="I10" s="75"/>
      <c r="J10" s="75"/>
    </row>
    <row r="11" spans="1:10" x14ac:dyDescent="0.2">
      <c r="A11" s="96" t="s">
        <v>37</v>
      </c>
      <c r="B11" s="80">
        <f>Forutsetninger!G14</f>
        <v>12</v>
      </c>
      <c r="E11" s="75"/>
      <c r="F11" s="75"/>
      <c r="G11" s="97"/>
      <c r="H11" s="75"/>
      <c r="I11" s="75"/>
      <c r="J11" s="75"/>
    </row>
    <row r="12" spans="1:10" x14ac:dyDescent="0.2">
      <c r="A12" s="95" t="s">
        <v>197</v>
      </c>
      <c r="B12" s="77" t="s">
        <v>40</v>
      </c>
      <c r="E12" s="75"/>
      <c r="F12" s="88"/>
      <c r="G12" s="74"/>
      <c r="H12" s="75"/>
      <c r="I12" s="75"/>
      <c r="J12" s="75"/>
    </row>
    <row r="13" spans="1:10" x14ac:dyDescent="0.2">
      <c r="E13" s="75"/>
      <c r="F13" s="73"/>
      <c r="G13" s="98"/>
      <c r="H13" s="75"/>
      <c r="I13" s="75"/>
      <c r="J13" s="75"/>
    </row>
    <row r="14" spans="1:10" hidden="1" x14ac:dyDescent="0.2">
      <c r="E14" s="75"/>
      <c r="F14" s="75"/>
      <c r="G14" s="74"/>
      <c r="H14" s="75"/>
      <c r="I14" s="75"/>
      <c r="J14" s="75"/>
    </row>
    <row r="15" spans="1:10" hidden="1" x14ac:dyDescent="0.2">
      <c r="A15" s="81" t="s">
        <v>111</v>
      </c>
      <c r="B15" s="82">
        <f>INT(Analyseperiode/B11)+1</f>
        <v>4</v>
      </c>
      <c r="E15" s="75"/>
      <c r="F15" s="75"/>
      <c r="G15" s="97"/>
      <c r="H15" s="99"/>
      <c r="I15" s="75"/>
      <c r="J15" s="75"/>
    </row>
    <row r="16" spans="1:10" hidden="1" x14ac:dyDescent="0.2">
      <c r="A16" s="81" t="s">
        <v>140</v>
      </c>
      <c r="B16" s="83">
        <f>(1-((1+Drente)^(-B11*B15)))/(1-((1+Drente)^(-B11)))+((Analyseperiode-(B11*B15))/(B11*((1+Drente)^Analyseperiode)))</f>
        <v>2.1195278826687241</v>
      </c>
      <c r="E16" s="75"/>
      <c r="F16" s="75"/>
      <c r="G16" s="97"/>
      <c r="H16" s="99"/>
      <c r="I16" s="75"/>
      <c r="J16" s="75"/>
    </row>
    <row r="17" spans="1:10" x14ac:dyDescent="0.2">
      <c r="A17" s="73"/>
      <c r="B17" s="84"/>
      <c r="E17" s="75"/>
      <c r="F17" s="75"/>
      <c r="G17" s="97"/>
      <c r="H17" s="75"/>
      <c r="I17" s="75"/>
      <c r="J17" s="75"/>
    </row>
    <row r="18" spans="1:10" x14ac:dyDescent="0.2">
      <c r="A18" s="58" t="s">
        <v>143</v>
      </c>
      <c r="E18" s="75"/>
      <c r="F18" s="73"/>
      <c r="G18" s="97"/>
      <c r="H18" s="75"/>
      <c r="I18" s="75"/>
      <c r="J18" s="75"/>
    </row>
    <row r="19" spans="1:10" x14ac:dyDescent="0.2">
      <c r="A19" s="95" t="s">
        <v>10</v>
      </c>
      <c r="B19" s="100" t="e">
        <f>B12*Forutsetninger!D18</f>
        <v>#VALUE!</v>
      </c>
      <c r="E19" s="75"/>
      <c r="F19" s="75"/>
      <c r="G19" s="97"/>
      <c r="H19" s="75"/>
      <c r="I19" s="75"/>
      <c r="J19" s="75"/>
    </row>
    <row r="20" spans="1:10" x14ac:dyDescent="0.2">
      <c r="A20" s="96" t="s">
        <v>112</v>
      </c>
      <c r="B20" s="101">
        <v>0</v>
      </c>
      <c r="E20" s="75"/>
      <c r="F20" s="75"/>
      <c r="G20" s="97"/>
      <c r="H20" s="75"/>
      <c r="I20" s="75"/>
      <c r="J20" s="75"/>
    </row>
    <row r="21" spans="1:10" x14ac:dyDescent="0.2">
      <c r="A21" s="96" t="s">
        <v>14</v>
      </c>
      <c r="B21" s="101">
        <v>0</v>
      </c>
      <c r="E21" s="75"/>
      <c r="F21" s="75"/>
      <c r="G21" s="74"/>
      <c r="H21" s="75"/>
      <c r="I21" s="75"/>
      <c r="J21" s="75"/>
    </row>
    <row r="22" spans="1:10" x14ac:dyDescent="0.2">
      <c r="A22" s="96" t="s">
        <v>47</v>
      </c>
      <c r="B22" s="101" t="e">
        <f>SUM(B21,B20,B19)</f>
        <v>#VALUE!</v>
      </c>
      <c r="E22" s="75"/>
      <c r="F22" s="88"/>
      <c r="G22" s="74"/>
      <c r="H22" s="75"/>
      <c r="I22" s="75"/>
      <c r="J22" s="75"/>
    </row>
    <row r="23" spans="1:10" x14ac:dyDescent="0.2">
      <c r="A23" s="96" t="s">
        <v>171</v>
      </c>
      <c r="B23" s="101" t="e">
        <f>B19*Afaktor_vekst</f>
        <v>#VALUE!</v>
      </c>
      <c r="E23" s="75"/>
      <c r="F23" s="75"/>
      <c r="G23" s="97"/>
      <c r="H23" s="75"/>
      <c r="I23" s="75"/>
      <c r="J23" s="75"/>
    </row>
    <row r="24" spans="1:10" x14ac:dyDescent="0.2">
      <c r="A24" s="96" t="s">
        <v>172</v>
      </c>
      <c r="B24" s="101">
        <f>B20*Afaktor_vekst</f>
        <v>0</v>
      </c>
      <c r="E24" s="75"/>
      <c r="F24" s="75"/>
      <c r="G24" s="74"/>
      <c r="H24" s="75"/>
      <c r="I24" s="75"/>
      <c r="J24" s="75"/>
    </row>
    <row r="25" spans="1:10" x14ac:dyDescent="0.2">
      <c r="A25" s="96" t="s">
        <v>173</v>
      </c>
      <c r="B25" s="101">
        <f>B21*Afaktor_vekst</f>
        <v>0</v>
      </c>
      <c r="E25" s="75"/>
      <c r="F25" s="75"/>
      <c r="G25" s="102"/>
      <c r="H25" s="75"/>
      <c r="I25" s="75"/>
      <c r="J25" s="75"/>
    </row>
    <row r="26" spans="1:10" x14ac:dyDescent="0.2">
      <c r="A26" s="96" t="s">
        <v>254</v>
      </c>
      <c r="B26" s="101" t="e">
        <f>B22*Afaktor_vekst</f>
        <v>#VALUE!</v>
      </c>
      <c r="E26" s="75"/>
      <c r="F26" s="75"/>
      <c r="G26" s="75"/>
      <c r="H26" s="75"/>
      <c r="I26" s="75"/>
      <c r="J26" s="75"/>
    </row>
    <row r="27" spans="1:10" x14ac:dyDescent="0.2">
      <c r="B27" s="87"/>
      <c r="E27" s="75"/>
      <c r="F27" s="75"/>
      <c r="G27" s="75"/>
      <c r="H27" s="75"/>
      <c r="I27" s="75"/>
      <c r="J27" s="75"/>
    </row>
    <row r="28" spans="1:10" x14ac:dyDescent="0.2">
      <c r="A28" s="88" t="s">
        <v>144</v>
      </c>
      <c r="B28" s="60"/>
      <c r="E28" s="75"/>
      <c r="F28" s="75"/>
      <c r="G28" s="75"/>
      <c r="H28" s="75"/>
      <c r="I28" s="75"/>
      <c r="J28" s="75"/>
    </row>
    <row r="29" spans="1:10" x14ac:dyDescent="0.2">
      <c r="A29" s="95" t="s">
        <v>142</v>
      </c>
      <c r="B29" s="101" t="e">
        <f>-B8*$B$16</f>
        <v>#VALUE!</v>
      </c>
      <c r="C29" s="89"/>
    </row>
    <row r="30" spans="1:10" x14ac:dyDescent="0.2">
      <c r="A30" s="96" t="s">
        <v>141</v>
      </c>
      <c r="B30" s="101" t="e">
        <f>-B9*Afaktor</f>
        <v>#VALUE!</v>
      </c>
      <c r="C30" s="89"/>
    </row>
    <row r="31" spans="1:10" x14ac:dyDescent="0.2">
      <c r="A31" s="95" t="s">
        <v>214</v>
      </c>
      <c r="B31" s="101" t="e">
        <f>B29+B30</f>
        <v>#VALUE!</v>
      </c>
    </row>
    <row r="32" spans="1:10" x14ac:dyDescent="0.2">
      <c r="A32" s="96" t="s">
        <v>174</v>
      </c>
      <c r="B32" s="101" t="e">
        <f>(1-B10)*B31*Skyggepris</f>
        <v>#VALUE!</v>
      </c>
    </row>
    <row r="33" spans="1:3" x14ac:dyDescent="0.2">
      <c r="A33" s="90"/>
      <c r="B33" s="91"/>
      <c r="C33" s="90"/>
    </row>
    <row r="34" spans="1:3" x14ac:dyDescent="0.2">
      <c r="A34" s="58" t="s">
        <v>7</v>
      </c>
    </row>
    <row r="35" spans="1:3" x14ac:dyDescent="0.2">
      <c r="A35" s="96" t="s">
        <v>8</v>
      </c>
      <c r="B35" s="103" t="e">
        <f>B26+B31+B32</f>
        <v>#VALUE!</v>
      </c>
      <c r="C35" s="60" t="s">
        <v>175</v>
      </c>
    </row>
    <row r="37" spans="1:3" x14ac:dyDescent="0.2">
      <c r="A37" s="95" t="s">
        <v>178</v>
      </c>
      <c r="B37" s="104" t="e">
        <f>B35/-B31</f>
        <v>#VALUE!</v>
      </c>
      <c r="C37" s="60" t="s">
        <v>9</v>
      </c>
    </row>
    <row r="41" spans="1:3" x14ac:dyDescent="0.2">
      <c r="B41" s="75"/>
    </row>
  </sheetData>
  <sheetProtection algorithmName="SHA-512" hashValue="Ja2IXdg6WfLEXQ+E7Am9qgd9R84cxKloXF4pEulfjPUYOZ00h9XG8YjlI2uJnxqFDE8jLKdjCRo9Tx6Xr9Yppw==" saltValue="xpcvLKjHxffi0mFjIJYyEw==" spinCount="100000" sheet="1" objects="1" scenarios="1" selectLockedCells="1"/>
  <protectedRanges>
    <protectedRange sqref="G5:G6" name="Område1"/>
    <protectedRange sqref="G3" name="Område1_2"/>
    <protectedRange sqref="G4" name="Område1_3"/>
    <protectedRange sqref="G7" name="Område1_4"/>
    <protectedRange sqref="B8:B12" name="Område1_1"/>
  </protectedRange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A1:C29"/>
  <sheetViews>
    <sheetView workbookViewId="0">
      <selection activeCell="B8" sqref="B8"/>
    </sheetView>
  </sheetViews>
  <sheetFormatPr baseColWidth="10" defaultRowHeight="12.75" x14ac:dyDescent="0.2"/>
  <cols>
    <col min="1" max="1" width="46.42578125" style="60" bestFit="1" customWidth="1"/>
    <col min="2" max="2" width="11.42578125" style="60"/>
    <col min="3" max="3" width="14.85546875" style="60" customWidth="1"/>
    <col min="4" max="16384" width="11.42578125" style="60"/>
  </cols>
  <sheetData>
    <row r="1" spans="1:3" ht="13.5" thickBot="1" x14ac:dyDescent="0.25">
      <c r="A1" s="58" t="s">
        <v>90</v>
      </c>
      <c r="B1" s="59"/>
    </row>
    <row r="2" spans="1:3" x14ac:dyDescent="0.2">
      <c r="A2" s="61" t="s">
        <v>156</v>
      </c>
      <c r="B2" s="62"/>
      <c r="C2" s="63"/>
    </row>
    <row r="3" spans="1:3" x14ac:dyDescent="0.2">
      <c r="A3" s="65" t="s">
        <v>188</v>
      </c>
      <c r="B3" s="66">
        <f>Analyseperiode</f>
        <v>40</v>
      </c>
      <c r="C3" s="67" t="s">
        <v>104</v>
      </c>
    </row>
    <row r="4" spans="1:3" x14ac:dyDescent="0.2">
      <c r="A4" s="65" t="s">
        <v>189</v>
      </c>
      <c r="B4" s="68"/>
      <c r="C4" s="64"/>
    </row>
    <row r="5" spans="1:3" ht="13.5" thickBot="1" x14ac:dyDescent="0.25">
      <c r="A5" s="70" t="s">
        <v>215</v>
      </c>
      <c r="B5" s="71"/>
      <c r="C5" s="72"/>
    </row>
    <row r="6" spans="1:3" x14ac:dyDescent="0.2">
      <c r="A6" s="73"/>
      <c r="B6" s="74"/>
      <c r="C6" s="75"/>
    </row>
    <row r="7" spans="1:3" x14ac:dyDescent="0.2">
      <c r="A7" s="58" t="s">
        <v>13</v>
      </c>
      <c r="B7" s="59"/>
    </row>
    <row r="8" spans="1:3" x14ac:dyDescent="0.2">
      <c r="A8" s="95" t="s">
        <v>226</v>
      </c>
      <c r="B8" s="77" t="s">
        <v>40</v>
      </c>
      <c r="C8" s="75"/>
    </row>
    <row r="9" spans="1:3" x14ac:dyDescent="0.2">
      <c r="A9" s="96" t="s">
        <v>96</v>
      </c>
      <c r="B9" s="79">
        <v>0</v>
      </c>
      <c r="C9" s="75"/>
    </row>
    <row r="10" spans="1:3" x14ac:dyDescent="0.2">
      <c r="A10" s="95" t="s">
        <v>197</v>
      </c>
      <c r="B10" s="77" t="s">
        <v>40</v>
      </c>
    </row>
    <row r="11" spans="1:3" x14ac:dyDescent="0.2">
      <c r="B11" s="59"/>
    </row>
    <row r="12" spans="1:3" x14ac:dyDescent="0.2">
      <c r="A12" s="58" t="s">
        <v>143</v>
      </c>
      <c r="B12" s="59"/>
    </row>
    <row r="13" spans="1:3" x14ac:dyDescent="0.2">
      <c r="A13" s="95" t="s">
        <v>10</v>
      </c>
      <c r="B13" s="100" t="e">
        <f>B10*Forutsetninger!D19</f>
        <v>#VALUE!</v>
      </c>
    </row>
    <row r="14" spans="1:3" x14ac:dyDescent="0.2">
      <c r="A14" s="96" t="s">
        <v>112</v>
      </c>
      <c r="B14" s="101">
        <v>0</v>
      </c>
    </row>
    <row r="15" spans="1:3" x14ac:dyDescent="0.2">
      <c r="A15" s="96" t="s">
        <v>14</v>
      </c>
      <c r="B15" s="101">
        <v>0</v>
      </c>
    </row>
    <row r="16" spans="1:3" x14ac:dyDescent="0.2">
      <c r="A16" s="96" t="s">
        <v>47</v>
      </c>
      <c r="B16" s="101" t="e">
        <f>SUM(B15,B14,B13)</f>
        <v>#VALUE!</v>
      </c>
    </row>
    <row r="17" spans="1:3" x14ac:dyDescent="0.2">
      <c r="A17" s="96" t="s">
        <v>171</v>
      </c>
      <c r="B17" s="101" t="e">
        <f>B13*Afaktor_vekst</f>
        <v>#VALUE!</v>
      </c>
    </row>
    <row r="18" spans="1:3" x14ac:dyDescent="0.2">
      <c r="A18" s="96" t="s">
        <v>172</v>
      </c>
      <c r="B18" s="101">
        <f>B14*Afaktor_vekst</f>
        <v>0</v>
      </c>
    </row>
    <row r="19" spans="1:3" x14ac:dyDescent="0.2">
      <c r="A19" s="96" t="s">
        <v>173</v>
      </c>
      <c r="B19" s="101">
        <f>B15*Afaktor_vekst</f>
        <v>0</v>
      </c>
    </row>
    <row r="20" spans="1:3" x14ac:dyDescent="0.2">
      <c r="A20" s="96" t="s">
        <v>254</v>
      </c>
      <c r="B20" s="101" t="e">
        <f>B16*Afaktor_vekst</f>
        <v>#VALUE!</v>
      </c>
    </row>
    <row r="21" spans="1:3" x14ac:dyDescent="0.2">
      <c r="B21" s="87"/>
    </row>
    <row r="22" spans="1:3" x14ac:dyDescent="0.2">
      <c r="A22" s="88" t="s">
        <v>144</v>
      </c>
    </row>
    <row r="23" spans="1:3" x14ac:dyDescent="0.2">
      <c r="A23" s="95" t="s">
        <v>265</v>
      </c>
      <c r="B23" s="101" t="e">
        <f>-B8*Afaktor</f>
        <v>#VALUE!</v>
      </c>
      <c r="C23" s="151"/>
    </row>
    <row r="24" spans="1:3" x14ac:dyDescent="0.2">
      <c r="A24" s="96" t="s">
        <v>174</v>
      </c>
      <c r="B24" s="101" t="e">
        <f>(1-B9)*B23*Skyggepris</f>
        <v>#VALUE!</v>
      </c>
    </row>
    <row r="25" spans="1:3" x14ac:dyDescent="0.2">
      <c r="A25" s="90"/>
      <c r="B25" s="91"/>
      <c r="C25" s="90"/>
    </row>
    <row r="26" spans="1:3" x14ac:dyDescent="0.2">
      <c r="A26" s="58" t="s">
        <v>7</v>
      </c>
      <c r="B26" s="59"/>
    </row>
    <row r="27" spans="1:3" x14ac:dyDescent="0.2">
      <c r="A27" s="96" t="s">
        <v>8</v>
      </c>
      <c r="B27" s="103" t="e">
        <f>B20+B23+B24</f>
        <v>#VALUE!</v>
      </c>
      <c r="C27" s="60" t="s">
        <v>175</v>
      </c>
    </row>
    <row r="28" spans="1:3" x14ac:dyDescent="0.2">
      <c r="B28" s="59"/>
    </row>
    <row r="29" spans="1:3" x14ac:dyDescent="0.2">
      <c r="A29" s="95" t="s">
        <v>178</v>
      </c>
      <c r="B29" s="104" t="e">
        <f>B27/-B23</f>
        <v>#VALUE!</v>
      </c>
      <c r="C29" s="60" t="s">
        <v>9</v>
      </c>
    </row>
  </sheetData>
  <sheetProtection algorithmName="SHA-512" hashValue="JmgM2GKp9DaVQ7K49yQVuX02HGIRVrZuRSxkhCBWF4+16gYGAvEeVILF4At5H7Zknc6q+na+M4K6TmeXawx0CQ==" saltValue="Vqg/mgdXfgEAxamAaTtACg==" spinCount="100000" sheet="1" objects="1" scenarios="1" selectLockedCells="1"/>
  <protectedRanges>
    <protectedRange sqref="B8:B10" name="Område1"/>
  </protectedRange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A1:C29"/>
  <sheetViews>
    <sheetView workbookViewId="0">
      <selection activeCell="B8" sqref="B8"/>
    </sheetView>
  </sheetViews>
  <sheetFormatPr baseColWidth="10" defaultRowHeight="12.75" x14ac:dyDescent="0.2"/>
  <cols>
    <col min="1" max="1" width="48.85546875" style="60" customWidth="1"/>
    <col min="2" max="2" width="11.42578125" style="60"/>
    <col min="3" max="3" width="14.85546875" style="60" customWidth="1"/>
    <col min="4" max="16384" width="11.42578125" style="60"/>
  </cols>
  <sheetData>
    <row r="1" spans="1:3" ht="13.5" thickBot="1" x14ac:dyDescent="0.25">
      <c r="A1" s="58" t="s">
        <v>163</v>
      </c>
      <c r="B1" s="59"/>
    </row>
    <row r="2" spans="1:3" x14ac:dyDescent="0.2">
      <c r="A2" s="61" t="s">
        <v>156</v>
      </c>
      <c r="B2" s="62"/>
      <c r="C2" s="63"/>
    </row>
    <row r="3" spans="1:3" x14ac:dyDescent="0.2">
      <c r="A3" s="65" t="s">
        <v>188</v>
      </c>
      <c r="B3" s="66">
        <f>Analyseperiode</f>
        <v>40</v>
      </c>
      <c r="C3" s="67" t="s">
        <v>104</v>
      </c>
    </row>
    <row r="4" spans="1:3" x14ac:dyDescent="0.2">
      <c r="A4" s="65" t="s">
        <v>189</v>
      </c>
      <c r="B4" s="68"/>
      <c r="C4" s="64"/>
    </row>
    <row r="5" spans="1:3" ht="13.5" thickBot="1" x14ac:dyDescent="0.25">
      <c r="A5" s="70" t="s">
        <v>215</v>
      </c>
      <c r="B5" s="71"/>
      <c r="C5" s="72"/>
    </row>
    <row r="6" spans="1:3" x14ac:dyDescent="0.2">
      <c r="A6" s="73"/>
      <c r="B6" s="74"/>
      <c r="C6" s="75"/>
    </row>
    <row r="7" spans="1:3" x14ac:dyDescent="0.2">
      <c r="A7" s="58" t="s">
        <v>13</v>
      </c>
      <c r="B7" s="59"/>
    </row>
    <row r="8" spans="1:3" x14ac:dyDescent="0.2">
      <c r="A8" s="95" t="s">
        <v>226</v>
      </c>
      <c r="B8" s="77" t="s">
        <v>40</v>
      </c>
      <c r="C8" s="75"/>
    </row>
    <row r="9" spans="1:3" x14ac:dyDescent="0.2">
      <c r="A9" s="96" t="s">
        <v>96</v>
      </c>
      <c r="B9" s="79">
        <v>0</v>
      </c>
      <c r="C9" s="75"/>
    </row>
    <row r="10" spans="1:3" x14ac:dyDescent="0.2">
      <c r="A10" s="95" t="s">
        <v>268</v>
      </c>
      <c r="B10" s="77" t="s">
        <v>40</v>
      </c>
    </row>
    <row r="11" spans="1:3" x14ac:dyDescent="0.2">
      <c r="B11" s="59"/>
    </row>
    <row r="12" spans="1:3" x14ac:dyDescent="0.2">
      <c r="A12" s="58" t="s">
        <v>143</v>
      </c>
      <c r="B12" s="59"/>
    </row>
    <row r="13" spans="1:3" x14ac:dyDescent="0.2">
      <c r="A13" s="95" t="s">
        <v>10</v>
      </c>
      <c r="B13" s="100" t="e">
        <f>B10*Forutsetninger!D20</f>
        <v>#VALUE!</v>
      </c>
    </row>
    <row r="14" spans="1:3" x14ac:dyDescent="0.2">
      <c r="A14" s="96" t="s">
        <v>112</v>
      </c>
      <c r="B14" s="101">
        <v>0</v>
      </c>
    </row>
    <row r="15" spans="1:3" x14ac:dyDescent="0.2">
      <c r="A15" s="96" t="s">
        <v>14</v>
      </c>
      <c r="B15" s="101">
        <v>0</v>
      </c>
    </row>
    <row r="16" spans="1:3" x14ac:dyDescent="0.2">
      <c r="A16" s="96" t="s">
        <v>47</v>
      </c>
      <c r="B16" s="101" t="e">
        <f>SUM(B15,B14,B13)</f>
        <v>#VALUE!</v>
      </c>
    </row>
    <row r="17" spans="1:3" x14ac:dyDescent="0.2">
      <c r="A17" s="96" t="s">
        <v>171</v>
      </c>
      <c r="B17" s="101" t="e">
        <f>B13*Afaktor_vekst</f>
        <v>#VALUE!</v>
      </c>
    </row>
    <row r="18" spans="1:3" x14ac:dyDescent="0.2">
      <c r="A18" s="96" t="s">
        <v>172</v>
      </c>
      <c r="B18" s="101">
        <f>B14*Afaktor_vekst</f>
        <v>0</v>
      </c>
    </row>
    <row r="19" spans="1:3" x14ac:dyDescent="0.2">
      <c r="A19" s="96" t="s">
        <v>173</v>
      </c>
      <c r="B19" s="101">
        <f>B15*Afaktor_vekst</f>
        <v>0</v>
      </c>
    </row>
    <row r="20" spans="1:3" x14ac:dyDescent="0.2">
      <c r="A20" s="96" t="s">
        <v>254</v>
      </c>
      <c r="B20" s="101" t="e">
        <f>B16*Afaktor_vekst</f>
        <v>#VALUE!</v>
      </c>
    </row>
    <row r="21" spans="1:3" x14ac:dyDescent="0.2">
      <c r="B21" s="87"/>
    </row>
    <row r="22" spans="1:3" x14ac:dyDescent="0.2">
      <c r="A22" s="88" t="s">
        <v>144</v>
      </c>
    </row>
    <row r="23" spans="1:3" x14ac:dyDescent="0.2">
      <c r="A23" s="95" t="s">
        <v>265</v>
      </c>
      <c r="B23" s="101" t="e">
        <f>-B8*Afaktor</f>
        <v>#VALUE!</v>
      </c>
    </row>
    <row r="24" spans="1:3" x14ac:dyDescent="0.2">
      <c r="A24" s="96" t="s">
        <v>174</v>
      </c>
      <c r="B24" s="101" t="e">
        <f>(1-B9)*B23*Skyggepris</f>
        <v>#VALUE!</v>
      </c>
    </row>
    <row r="25" spans="1:3" x14ac:dyDescent="0.2">
      <c r="A25" s="90"/>
      <c r="B25" s="91"/>
      <c r="C25" s="90"/>
    </row>
    <row r="26" spans="1:3" x14ac:dyDescent="0.2">
      <c r="A26" s="58" t="s">
        <v>7</v>
      </c>
      <c r="B26" s="59"/>
    </row>
    <row r="27" spans="1:3" x14ac:dyDescent="0.2">
      <c r="A27" s="96" t="s">
        <v>8</v>
      </c>
      <c r="B27" s="103" t="e">
        <f>B20+B23+B24</f>
        <v>#VALUE!</v>
      </c>
      <c r="C27" s="60" t="s">
        <v>175</v>
      </c>
    </row>
    <row r="28" spans="1:3" x14ac:dyDescent="0.2">
      <c r="B28" s="59"/>
    </row>
    <row r="29" spans="1:3" x14ac:dyDescent="0.2">
      <c r="A29" s="95" t="s">
        <v>178</v>
      </c>
      <c r="B29" s="104" t="e">
        <f>B27/-B23</f>
        <v>#VALUE!</v>
      </c>
      <c r="C29" s="60" t="s">
        <v>9</v>
      </c>
    </row>
  </sheetData>
  <sheetProtection algorithmName="SHA-512" hashValue="5WnAK1HEiIdqhnyZs8oVb0zdnsofIpu1hZE6xQ9Z5mVIisOHKKSTMESWBYM5sT5ZN29sOqQIiDtPQh+nZGyg1g==" saltValue="OcWYWmJLmRuViXBlO14Dbw==" spinCount="100000" sheet="1" objects="1" scenarios="1" selectLockedCells="1"/>
  <protectedRanges>
    <protectedRange sqref="B8:B10" name="Område1_5"/>
  </protectedRange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7">
    <tabColor indexed="44"/>
    <pageSetUpPr fitToPage="1"/>
  </sheetPr>
  <dimension ref="A1:L39"/>
  <sheetViews>
    <sheetView workbookViewId="0">
      <selection activeCell="B8" sqref="B8"/>
    </sheetView>
  </sheetViews>
  <sheetFormatPr baseColWidth="10" defaultRowHeight="12.75" x14ac:dyDescent="0.2"/>
  <cols>
    <col min="1" max="1" width="51.42578125" style="60" customWidth="1"/>
    <col min="2" max="2" width="15.28515625" style="59" customWidth="1"/>
    <col min="3" max="16384" width="11.42578125" style="60"/>
  </cols>
  <sheetData>
    <row r="1" spans="1:12" ht="13.5" thickBot="1" x14ac:dyDescent="0.25">
      <c r="A1" s="58" t="s">
        <v>15</v>
      </c>
    </row>
    <row r="2" spans="1:12" x14ac:dyDescent="0.2">
      <c r="A2" s="61" t="s">
        <v>156</v>
      </c>
      <c r="B2" s="62"/>
      <c r="C2" s="63"/>
    </row>
    <row r="3" spans="1:12" x14ac:dyDescent="0.2">
      <c r="A3" s="65" t="s">
        <v>188</v>
      </c>
      <c r="B3" s="66">
        <f>Analyseperiode</f>
        <v>40</v>
      </c>
      <c r="C3" s="67" t="s">
        <v>104</v>
      </c>
      <c r="E3" s="75"/>
      <c r="F3" s="75"/>
      <c r="G3" s="97"/>
      <c r="H3" s="75"/>
      <c r="I3" s="75"/>
      <c r="J3" s="75"/>
      <c r="K3" s="75"/>
      <c r="L3" s="75"/>
    </row>
    <row r="4" spans="1:12" x14ac:dyDescent="0.2">
      <c r="A4" s="65" t="s">
        <v>189</v>
      </c>
      <c r="B4" s="68"/>
      <c r="C4" s="64"/>
      <c r="E4" s="75"/>
      <c r="F4" s="75"/>
      <c r="G4" s="97"/>
      <c r="H4" s="75"/>
      <c r="I4" s="75"/>
      <c r="J4" s="75"/>
      <c r="K4" s="75"/>
      <c r="L4" s="75"/>
    </row>
    <row r="5" spans="1:12" ht="13.5" thickBot="1" x14ac:dyDescent="0.25">
      <c r="A5" s="70" t="s">
        <v>215</v>
      </c>
      <c r="B5" s="71"/>
      <c r="C5" s="72"/>
      <c r="E5" s="75"/>
      <c r="F5" s="75"/>
      <c r="G5" s="119"/>
      <c r="H5" s="75"/>
      <c r="I5" s="75"/>
      <c r="J5" s="75"/>
      <c r="K5" s="75"/>
      <c r="L5" s="75"/>
    </row>
    <row r="6" spans="1:12" x14ac:dyDescent="0.2">
      <c r="A6" s="73"/>
      <c r="B6" s="74"/>
      <c r="C6" s="75"/>
      <c r="E6" s="75"/>
      <c r="F6" s="75"/>
      <c r="G6" s="97"/>
      <c r="H6" s="75"/>
      <c r="I6" s="75"/>
      <c r="J6" s="75"/>
      <c r="K6" s="75"/>
      <c r="L6" s="75"/>
    </row>
    <row r="7" spans="1:12" x14ac:dyDescent="0.2">
      <c r="A7" s="58" t="s">
        <v>13</v>
      </c>
      <c r="E7" s="75"/>
      <c r="F7" s="94"/>
      <c r="G7" s="147"/>
      <c r="H7" s="75"/>
      <c r="I7" s="75"/>
      <c r="J7" s="75"/>
      <c r="K7" s="75"/>
      <c r="L7" s="75"/>
    </row>
    <row r="8" spans="1:12" x14ac:dyDescent="0.2">
      <c r="A8" s="95" t="s">
        <v>216</v>
      </c>
      <c r="B8" s="77" t="s">
        <v>40</v>
      </c>
      <c r="E8" s="75"/>
      <c r="F8" s="75"/>
      <c r="G8" s="97"/>
      <c r="H8" s="75"/>
      <c r="I8" s="75"/>
      <c r="J8" s="75"/>
      <c r="K8" s="75"/>
      <c r="L8" s="75"/>
    </row>
    <row r="9" spans="1:12" x14ac:dyDescent="0.2">
      <c r="A9" s="95" t="s">
        <v>217</v>
      </c>
      <c r="B9" s="77" t="s">
        <v>40</v>
      </c>
      <c r="E9" s="75"/>
      <c r="F9" s="75"/>
      <c r="G9" s="75"/>
      <c r="H9" s="75"/>
      <c r="I9" s="75"/>
      <c r="J9" s="75"/>
      <c r="K9" s="75"/>
      <c r="L9" s="75"/>
    </row>
    <row r="10" spans="1:12" x14ac:dyDescent="0.2">
      <c r="A10" s="96" t="s">
        <v>96</v>
      </c>
      <c r="B10" s="79">
        <v>0</v>
      </c>
      <c r="E10" s="75"/>
      <c r="F10" s="75"/>
      <c r="G10" s="75"/>
      <c r="H10" s="75"/>
      <c r="I10" s="75"/>
      <c r="J10" s="75"/>
      <c r="K10" s="75"/>
      <c r="L10" s="75"/>
    </row>
    <row r="11" spans="1:12" x14ac:dyDescent="0.2">
      <c r="A11" s="96" t="s">
        <v>37</v>
      </c>
      <c r="B11" s="80">
        <v>25</v>
      </c>
      <c r="E11" s="99"/>
      <c r="F11" s="94"/>
      <c r="G11" s="147"/>
      <c r="H11" s="99"/>
      <c r="I11" s="75"/>
      <c r="J11" s="75"/>
      <c r="K11" s="75"/>
      <c r="L11" s="75"/>
    </row>
    <row r="12" spans="1:12" x14ac:dyDescent="0.2">
      <c r="A12" s="95" t="s">
        <v>179</v>
      </c>
      <c r="B12" s="77" t="s">
        <v>40</v>
      </c>
      <c r="E12" s="99"/>
      <c r="F12" s="75"/>
      <c r="G12" s="97"/>
      <c r="H12" s="148"/>
      <c r="I12" s="75"/>
      <c r="J12" s="75"/>
      <c r="K12" s="75"/>
      <c r="L12" s="75"/>
    </row>
    <row r="13" spans="1:12" x14ac:dyDescent="0.2">
      <c r="A13" s="95" t="s">
        <v>180</v>
      </c>
      <c r="B13" s="105" t="s">
        <v>40</v>
      </c>
      <c r="E13" s="99"/>
      <c r="F13" s="88"/>
      <c r="G13" s="74"/>
      <c r="H13" s="99"/>
      <c r="I13" s="75"/>
      <c r="J13" s="75"/>
      <c r="K13" s="75"/>
      <c r="L13" s="75"/>
    </row>
    <row r="14" spans="1:12" x14ac:dyDescent="0.2">
      <c r="A14" s="95" t="s">
        <v>243</v>
      </c>
      <c r="B14" s="149" t="s">
        <v>40</v>
      </c>
      <c r="E14" s="75"/>
      <c r="F14" s="73"/>
      <c r="G14" s="98"/>
      <c r="H14" s="148"/>
      <c r="I14" s="75"/>
      <c r="J14" s="75"/>
      <c r="K14" s="75"/>
      <c r="L14" s="75"/>
    </row>
    <row r="15" spans="1:12" x14ac:dyDescent="0.2">
      <c r="A15" s="95" t="s">
        <v>245</v>
      </c>
      <c r="B15" s="149" t="s">
        <v>40</v>
      </c>
      <c r="E15" s="75"/>
      <c r="F15" s="75"/>
      <c r="G15" s="74"/>
      <c r="H15" s="75"/>
      <c r="I15" s="75"/>
      <c r="J15" s="75"/>
      <c r="K15" s="75"/>
      <c r="L15" s="75"/>
    </row>
    <row r="16" spans="1:12" x14ac:dyDescent="0.2">
      <c r="E16" s="75"/>
      <c r="F16" s="75"/>
      <c r="G16" s="74"/>
      <c r="H16" s="75"/>
      <c r="I16" s="75"/>
      <c r="J16" s="75"/>
      <c r="K16" s="75"/>
      <c r="L16" s="75"/>
    </row>
    <row r="17" spans="1:12" hidden="1" x14ac:dyDescent="0.2">
      <c r="A17" s="81" t="s">
        <v>111</v>
      </c>
      <c r="B17" s="82">
        <f>INT(Analyseperiode/B11)+1</f>
        <v>2</v>
      </c>
      <c r="E17" s="75"/>
      <c r="F17" s="75"/>
      <c r="G17" s="74"/>
      <c r="H17" s="75"/>
      <c r="I17" s="75"/>
      <c r="J17" s="75"/>
      <c r="K17" s="75"/>
      <c r="L17" s="75"/>
    </row>
    <row r="18" spans="1:12" hidden="1" x14ac:dyDescent="0.2">
      <c r="A18" s="81" t="s">
        <v>140</v>
      </c>
      <c r="B18" s="83">
        <f>(1-((1+Drente)^(-B11*B17)))/(1-((1+Drente)^(-B11)))+((Analyseperiode-(B11*B17))/(B11*((1+Drente)^Analyseperiode)))</f>
        <v>1.2918011843887871</v>
      </c>
      <c r="E18" s="75"/>
      <c r="F18" s="75"/>
      <c r="G18" s="97"/>
      <c r="H18" s="99"/>
      <c r="I18" s="75"/>
      <c r="J18" s="75"/>
      <c r="K18" s="75"/>
      <c r="L18" s="75"/>
    </row>
    <row r="19" spans="1:12" x14ac:dyDescent="0.2">
      <c r="A19" s="73"/>
      <c r="B19" s="84"/>
      <c r="E19" s="75"/>
      <c r="F19" s="75"/>
      <c r="G19" s="97"/>
      <c r="H19" s="99"/>
      <c r="I19" s="75"/>
      <c r="J19" s="75"/>
      <c r="K19" s="75"/>
      <c r="L19" s="75"/>
    </row>
    <row r="20" spans="1:12" x14ac:dyDescent="0.2">
      <c r="A20" s="58" t="s">
        <v>143</v>
      </c>
      <c r="E20" s="75"/>
      <c r="F20" s="75"/>
      <c r="G20" s="97"/>
      <c r="H20" s="75"/>
      <c r="I20" s="75"/>
      <c r="J20" s="75"/>
      <c r="K20" s="75"/>
      <c r="L20" s="75"/>
    </row>
    <row r="21" spans="1:12" x14ac:dyDescent="0.2">
      <c r="A21" s="95" t="s">
        <v>10</v>
      </c>
      <c r="B21" s="100" t="e">
        <f>(B12*Forutsetninger!D21)+(B13*B14*Forutsetninger!D12)</f>
        <v>#VALUE!</v>
      </c>
      <c r="E21" s="75"/>
      <c r="F21" s="73"/>
      <c r="G21" s="97"/>
      <c r="H21" s="75"/>
      <c r="I21" s="75"/>
      <c r="J21" s="75"/>
      <c r="K21" s="75"/>
      <c r="L21" s="75"/>
    </row>
    <row r="22" spans="1:12" x14ac:dyDescent="0.2">
      <c r="A22" s="96" t="s">
        <v>112</v>
      </c>
      <c r="B22" s="101">
        <v>0</v>
      </c>
      <c r="E22" s="75"/>
      <c r="F22" s="75"/>
      <c r="G22" s="97"/>
      <c r="H22" s="75"/>
      <c r="I22" s="75"/>
      <c r="J22" s="75"/>
      <c r="K22" s="75"/>
      <c r="L22" s="75"/>
    </row>
    <row r="23" spans="1:12" x14ac:dyDescent="0.2">
      <c r="A23" s="96" t="s">
        <v>14</v>
      </c>
      <c r="B23" s="101" t="e">
        <f>B14*Forutsetninger!D38</f>
        <v>#VALUE!</v>
      </c>
      <c r="E23" s="75"/>
      <c r="F23" s="75"/>
      <c r="G23" s="97"/>
      <c r="H23" s="75"/>
      <c r="I23" s="75"/>
      <c r="J23" s="75"/>
      <c r="K23" s="75"/>
      <c r="L23" s="75"/>
    </row>
    <row r="24" spans="1:12" x14ac:dyDescent="0.2">
      <c r="A24" s="96" t="s">
        <v>47</v>
      </c>
      <c r="B24" s="101" t="e">
        <f>SUM(B23,B22,B21)</f>
        <v>#VALUE!</v>
      </c>
      <c r="E24" s="75"/>
      <c r="F24" s="75"/>
      <c r="G24" s="74"/>
      <c r="H24" s="75"/>
      <c r="I24" s="75"/>
      <c r="J24" s="75"/>
      <c r="K24" s="75"/>
      <c r="L24" s="75"/>
    </row>
    <row r="25" spans="1:12" x14ac:dyDescent="0.2">
      <c r="A25" s="96" t="s">
        <v>171</v>
      </c>
      <c r="B25" s="101" t="e">
        <f>B21*Afaktor_vekst</f>
        <v>#VALUE!</v>
      </c>
      <c r="E25" s="75"/>
      <c r="F25" s="88"/>
      <c r="G25" s="74"/>
      <c r="H25" s="75"/>
      <c r="I25" s="75"/>
      <c r="J25" s="75"/>
      <c r="K25" s="75"/>
      <c r="L25" s="75"/>
    </row>
    <row r="26" spans="1:12" x14ac:dyDescent="0.2">
      <c r="A26" s="96" t="s">
        <v>172</v>
      </c>
      <c r="B26" s="101">
        <f>B22*Afaktor_vekst</f>
        <v>0</v>
      </c>
      <c r="E26" s="75"/>
      <c r="F26" s="75"/>
      <c r="G26" s="150"/>
      <c r="H26" s="75"/>
      <c r="I26" s="75"/>
      <c r="J26" s="75"/>
      <c r="K26" s="75"/>
      <c r="L26" s="75"/>
    </row>
    <row r="27" spans="1:12" x14ac:dyDescent="0.2">
      <c r="A27" s="96" t="s">
        <v>173</v>
      </c>
      <c r="B27" s="101" t="e">
        <f>B23*Afaktor_vekst</f>
        <v>#VALUE!</v>
      </c>
      <c r="E27" s="75"/>
      <c r="F27" s="75"/>
      <c r="G27" s="74"/>
      <c r="H27" s="75"/>
      <c r="I27" s="75"/>
      <c r="J27" s="75"/>
      <c r="K27" s="75"/>
      <c r="L27" s="75"/>
    </row>
    <row r="28" spans="1:12" x14ac:dyDescent="0.2">
      <c r="A28" s="96" t="s">
        <v>254</v>
      </c>
      <c r="B28" s="101" t="e">
        <f>B24*Afaktor_vekst</f>
        <v>#VALUE!</v>
      </c>
      <c r="E28" s="75"/>
      <c r="F28" s="75"/>
      <c r="G28" s="102"/>
      <c r="H28" s="75"/>
      <c r="I28" s="75"/>
      <c r="J28" s="75"/>
      <c r="K28" s="75"/>
      <c r="L28" s="75"/>
    </row>
    <row r="29" spans="1:12" x14ac:dyDescent="0.2">
      <c r="B29" s="87"/>
      <c r="E29" s="75"/>
      <c r="F29" s="75"/>
      <c r="G29" s="75"/>
      <c r="H29" s="75"/>
      <c r="I29" s="75"/>
      <c r="J29" s="75"/>
      <c r="K29" s="75"/>
      <c r="L29" s="75"/>
    </row>
    <row r="30" spans="1:12" x14ac:dyDescent="0.2">
      <c r="A30" s="88" t="s">
        <v>144</v>
      </c>
      <c r="B30" s="60"/>
      <c r="E30" s="75"/>
      <c r="F30" s="75"/>
      <c r="G30" s="75"/>
      <c r="H30" s="75"/>
      <c r="I30" s="75"/>
      <c r="J30" s="75"/>
      <c r="K30" s="75"/>
      <c r="L30" s="75"/>
    </row>
    <row r="31" spans="1:12" x14ac:dyDescent="0.2">
      <c r="A31" s="95" t="s">
        <v>142</v>
      </c>
      <c r="B31" s="101" t="e">
        <f>-B8*$B$18</f>
        <v>#VALUE!</v>
      </c>
      <c r="C31" s="89"/>
      <c r="E31" s="75"/>
      <c r="F31" s="75"/>
      <c r="G31" s="75"/>
      <c r="H31" s="75"/>
      <c r="I31" s="75"/>
      <c r="J31" s="75"/>
      <c r="K31" s="75"/>
      <c r="L31" s="75"/>
    </row>
    <row r="32" spans="1:12" x14ac:dyDescent="0.2">
      <c r="A32" s="96" t="s">
        <v>141</v>
      </c>
      <c r="B32" s="101" t="e">
        <f>-B9*Afaktor</f>
        <v>#VALUE!</v>
      </c>
      <c r="C32" s="89"/>
      <c r="E32" s="75"/>
      <c r="F32" s="75"/>
      <c r="G32" s="75"/>
      <c r="H32" s="75"/>
      <c r="I32" s="75"/>
      <c r="J32" s="75"/>
      <c r="K32" s="75"/>
      <c r="L32" s="75"/>
    </row>
    <row r="33" spans="1:3" x14ac:dyDescent="0.2">
      <c r="A33" s="95" t="s">
        <v>214</v>
      </c>
      <c r="B33" s="101" t="e">
        <f>B31+B32</f>
        <v>#VALUE!</v>
      </c>
    </row>
    <row r="34" spans="1:3" x14ac:dyDescent="0.2">
      <c r="A34" s="96" t="s">
        <v>174</v>
      </c>
      <c r="B34" s="101" t="e">
        <f>(1-B10)*B33*Skyggepris</f>
        <v>#VALUE!</v>
      </c>
    </row>
    <row r="35" spans="1:3" x14ac:dyDescent="0.2">
      <c r="A35" s="90"/>
      <c r="B35" s="91"/>
      <c r="C35" s="90"/>
    </row>
    <row r="36" spans="1:3" x14ac:dyDescent="0.2">
      <c r="A36" s="58" t="s">
        <v>7</v>
      </c>
    </row>
    <row r="37" spans="1:3" x14ac:dyDescent="0.2">
      <c r="A37" s="96" t="s">
        <v>8</v>
      </c>
      <c r="B37" s="103" t="e">
        <f>B28+B33+B34</f>
        <v>#VALUE!</v>
      </c>
      <c r="C37" s="60" t="s">
        <v>175</v>
      </c>
    </row>
    <row r="39" spans="1:3" x14ac:dyDescent="0.2">
      <c r="A39" s="95" t="s">
        <v>178</v>
      </c>
      <c r="B39" s="104" t="e">
        <f>B37/-B33</f>
        <v>#VALUE!</v>
      </c>
      <c r="C39" s="60" t="s">
        <v>9</v>
      </c>
    </row>
  </sheetData>
  <sheetProtection algorithmName="SHA-512" hashValue="5FsWQq4R1b7PyOxgZrD3ideLWiaI3eE/Ca4fL/1l3UI9UqskxYRFWuUSghS9JNlIv6sFHQqN1ixZZziyVcoeHw==" saltValue="/OVis/4LE/Fqc4mdE/8ZiA==" spinCount="100000" sheet="1" objects="1" scenarios="1" selectLockedCells="1"/>
  <protectedRanges>
    <protectedRange sqref="B8:B12" name="Område1_2"/>
  </protectedRanges>
  <phoneticPr fontId="2" type="noConversion"/>
  <pageMargins left="0.78740157499999996" right="0.78740157499999996" top="0.984251969" bottom="0.984251969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31</vt:i4>
      </vt:variant>
      <vt:variant>
        <vt:lpstr>Navngitte områder</vt:lpstr>
      </vt:variant>
      <vt:variant>
        <vt:i4>7</vt:i4>
      </vt:variant>
    </vt:vector>
  </HeadingPairs>
  <TitlesOfParts>
    <vt:vector size="38" baseType="lpstr">
      <vt:lpstr>Innledning</vt:lpstr>
      <vt:lpstr>Forutsetninger</vt:lpstr>
      <vt:lpstr>Sykkelparkering</vt:lpstr>
      <vt:lpstr>Leskur u sitteplass</vt:lpstr>
      <vt:lpstr>Sitteplass på hpl</vt:lpstr>
      <vt:lpstr>Leskur m sitteplass</vt:lpstr>
      <vt:lpstr>Renhold på hpl</vt:lpstr>
      <vt:lpstr>Fjerning av is snø på hpl</vt:lpstr>
      <vt:lpstr>Opphøyet hpl</vt:lpstr>
      <vt:lpstr>Lokalkart på hpl</vt:lpstr>
      <vt:lpstr>Rutekart på hpl</vt:lpstr>
      <vt:lpstr>Rutetabell på hpl</vt:lpstr>
      <vt:lpstr>Skilting i buss</vt:lpstr>
      <vt:lpstr>Hpl.opprop</vt:lpstr>
      <vt:lpstr>Pakke skilt og opprop i buss</vt:lpstr>
      <vt:lpstr>Destinasjonsskilt på buss</vt:lpstr>
      <vt:lpstr>SIS</vt:lpstr>
      <vt:lpstr>Avviksinformasjon høyttaler</vt:lpstr>
      <vt:lpstr>Pakke Lokalkart SIS høyttaler</vt:lpstr>
      <vt:lpstr>Belysning</vt:lpstr>
      <vt:lpstr>Alarmsystem på hpl</vt:lpstr>
      <vt:lpstr>Vektere</vt:lpstr>
      <vt:lpstr>Bussrenhold</vt:lpstr>
      <vt:lpstr>Laventrebuss</vt:lpstr>
      <vt:lpstr>Kantsteinstopp</vt:lpstr>
      <vt:lpstr>Koll.prioritering lyskryss</vt:lpstr>
      <vt:lpstr>Koll.prioritering Skilt</vt:lpstr>
      <vt:lpstr>Flytte holdeplass</vt:lpstr>
      <vt:lpstr>Nedlegge holdeplass</vt:lpstr>
      <vt:lpstr>Opprette holdeplass</vt:lpstr>
      <vt:lpstr>Anropstyrt holdeplass</vt:lpstr>
      <vt:lpstr>Afaktor</vt:lpstr>
      <vt:lpstr>Afaktor_vekst</vt:lpstr>
      <vt:lpstr>Analyseperiode</vt:lpstr>
      <vt:lpstr>Drente</vt:lpstr>
      <vt:lpstr>Drente_vekst</vt:lpstr>
      <vt:lpstr>Skyggepris</vt:lpstr>
      <vt:lpstr>Vekstrate</vt:lpstr>
    </vt:vector>
  </TitlesOfParts>
  <Company>Transportøkonomisk institutt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Nils</dc:creator>
  <cp:lastModifiedBy>naf </cp:lastModifiedBy>
  <cp:lastPrinted>2010-12-07T13:36:06Z</cp:lastPrinted>
  <dcterms:created xsi:type="dcterms:W3CDTF">2006-05-10T18:59:09Z</dcterms:created>
  <dcterms:modified xsi:type="dcterms:W3CDTF">2015-07-28T11:36:54Z</dcterms:modified>
</cp:coreProperties>
</file>