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I:\FILFLYTT\TCR\"/>
    </mc:Choice>
  </mc:AlternateContent>
  <bookViews>
    <workbookView xWindow="240" yWindow="90" windowWidth="15480" windowHeight="9540" tabRatio="844"/>
  </bookViews>
  <sheets>
    <sheet name="Bruksanvisning" sheetId="4" r:id="rId1"/>
    <sheet name="Oversikt over tiltak" sheetId="5" r:id="rId2"/>
    <sheet name="1 Fartsregulerende tiltak 1" sheetId="6" r:id="rId3"/>
    <sheet name="1 Fartsreg. tiltak veiledning" sheetId="10" r:id="rId4"/>
    <sheet name="2 Fartsregulerende tiltak 2" sheetId="16" r:id="rId5"/>
    <sheet name="3 Køvarsling" sheetId="8" r:id="rId6"/>
    <sheet name="4 Gang- og sykkelvarsling" sheetId="19" r:id="rId7"/>
    <sheet name="5 Kollektivtrafikkprioritering" sheetId="15" r:id="rId8"/>
    <sheet name="6 Sanntidsinformasjon" sheetId="13" r:id="rId9"/>
    <sheet name="Data-beregninger" sheetId="2" r:id="rId10"/>
    <sheet name="Indeksjustering" sheetId="21" state="hidden" r:id="rId11"/>
    <sheet name="Miljøberegning køvarsling" sheetId="9" state="hidden" r:id="rId12"/>
    <sheet name="Miljøberegning tilfartskontroll" sheetId="17" state="hidden" r:id="rId13"/>
  </sheets>
  <definedNames>
    <definedName name="_xlnm._FilterDatabase" localSheetId="11" hidden="1">'Miljøberegning køvarsling'!$A$4:$Q$39</definedName>
    <definedName name="_xlnm._FilterDatabase" localSheetId="12" hidden="1">'Miljøberegning tilfartskontroll'!$A$4:$Q$39</definedName>
    <definedName name="_xlnm._FilterDatabase" localSheetId="1" hidden="1">'Oversikt over tiltak'!$B$2:$C$35</definedName>
  </definedNames>
  <calcPr calcId="152511"/>
</workbook>
</file>

<file path=xl/calcChain.xml><?xml version="1.0" encoding="utf-8"?>
<calcChain xmlns="http://schemas.openxmlformats.org/spreadsheetml/2006/main">
  <c r="D38" i="15" l="1"/>
  <c r="N125" i="2" l="1"/>
  <c r="N123" i="2"/>
  <c r="M123" i="2"/>
  <c r="L123" i="2"/>
  <c r="K123" i="2"/>
  <c r="E113" i="2"/>
  <c r="D113" i="2"/>
  <c r="C113" i="2"/>
  <c r="E112" i="2"/>
  <c r="D112" i="2"/>
  <c r="C112" i="2"/>
  <c r="E111" i="2"/>
  <c r="D111" i="2"/>
  <c r="C111" i="2"/>
  <c r="E110" i="2"/>
  <c r="D110" i="2"/>
  <c r="C110" i="2"/>
  <c r="E109" i="2"/>
  <c r="D109" i="2"/>
  <c r="C109" i="2"/>
  <c r="E94" i="2"/>
  <c r="D94" i="2"/>
  <c r="C94" i="2"/>
  <c r="E93" i="2"/>
  <c r="D93" i="2"/>
  <c r="C93" i="2"/>
  <c r="E92" i="2"/>
  <c r="D92" i="2"/>
  <c r="C92" i="2"/>
  <c r="E91" i="2"/>
  <c r="D91" i="2"/>
  <c r="C91" i="2"/>
  <c r="E90" i="2"/>
  <c r="D90" i="2"/>
  <c r="C90" i="2"/>
  <c r="E89" i="2"/>
  <c r="D89" i="2"/>
  <c r="C89" i="2"/>
  <c r="E88" i="2"/>
  <c r="D88" i="2"/>
  <c r="C88" i="2"/>
  <c r="E87" i="2"/>
  <c r="D87" i="2"/>
  <c r="C87" i="2"/>
  <c r="E86" i="2"/>
  <c r="D86" i="2"/>
  <c r="C86" i="2"/>
  <c r="E85" i="2"/>
  <c r="D85" i="2"/>
  <c r="C85" i="2"/>
  <c r="E84" i="2"/>
  <c r="D84" i="2"/>
  <c r="C84" i="2"/>
  <c r="E83" i="2"/>
  <c r="D83" i="2"/>
  <c r="C83" i="2"/>
  <c r="E82" i="2"/>
  <c r="D82" i="2"/>
  <c r="C82" i="2"/>
  <c r="E81" i="2"/>
  <c r="D81" i="2"/>
  <c r="C81" i="2"/>
  <c r="E80" i="2"/>
  <c r="D80" i="2"/>
  <c r="C80" i="2"/>
  <c r="E79" i="2"/>
  <c r="D79" i="2"/>
  <c r="C79" i="2"/>
  <c r="G38" i="6" l="1"/>
  <c r="K3" i="2"/>
  <c r="K125" i="2"/>
  <c r="M114" i="2"/>
  <c r="L114" i="2"/>
  <c r="K114" i="2"/>
  <c r="J147" i="8" l="1"/>
  <c r="F104" i="8"/>
  <c r="E104" i="8"/>
  <c r="D104" i="8"/>
  <c r="M92" i="8"/>
  <c r="M91" i="8"/>
  <c r="Q89" i="16"/>
  <c r="Q88" i="16"/>
  <c r="O89" i="16"/>
  <c r="O88" i="16"/>
  <c r="A102" i="2" l="1"/>
  <c r="A100" i="2"/>
  <c r="A101" i="2"/>
  <c r="F102" i="2"/>
  <c r="B7" i="2" l="1"/>
  <c r="B6" i="2"/>
  <c r="C201" i="8"/>
  <c r="E201" i="8" s="1"/>
  <c r="G202" i="8"/>
  <c r="G203" i="8" s="1"/>
  <c r="G204" i="8" s="1"/>
  <c r="G205" i="8" s="1"/>
  <c r="G206" i="8" s="1"/>
  <c r="G207" i="8" s="1"/>
  <c r="G208" i="8" s="1"/>
  <c r="G209" i="8" s="1"/>
  <c r="G210" i="8" s="1"/>
  <c r="K202" i="8"/>
  <c r="K203" i="8" s="1"/>
  <c r="K204" i="8" s="1"/>
  <c r="K205" i="8" s="1"/>
  <c r="K206" i="8" s="1"/>
  <c r="K207" i="8" s="1"/>
  <c r="K208" i="8" s="1"/>
  <c r="K209" i="8" s="1"/>
  <c r="K210" i="8" s="1"/>
  <c r="K211" i="8" s="1"/>
  <c r="K212" i="8" s="1"/>
  <c r="K213" i="8" s="1"/>
  <c r="K214" i="8" s="1"/>
  <c r="K215" i="8" s="1"/>
  <c r="K216" i="8" s="1"/>
  <c r="K217" i="8" s="1"/>
  <c r="K218" i="8" s="1"/>
  <c r="K219" i="8" s="1"/>
  <c r="K220" i="8" s="1"/>
  <c r="K221" i="8" s="1"/>
  <c r="K222" i="8" s="1"/>
  <c r="K223" i="8" s="1"/>
  <c r="K224" i="8" s="1"/>
  <c r="K225" i="8" s="1"/>
  <c r="D20" i="21"/>
  <c r="F148" i="2"/>
  <c r="F141" i="2"/>
  <c r="F140" i="2"/>
  <c r="F133" i="2"/>
  <c r="F132" i="2"/>
  <c r="F125" i="2"/>
  <c r="F123" i="2"/>
  <c r="F101" i="2"/>
  <c r="F100" i="2"/>
  <c r="F63" i="2"/>
  <c r="F62" i="2"/>
  <c r="F61" i="2"/>
  <c r="F60" i="2"/>
  <c r="F59" i="2"/>
  <c r="F58" i="2"/>
  <c r="F57" i="2"/>
  <c r="F34" i="2"/>
  <c r="F33" i="2"/>
  <c r="F32" i="2"/>
  <c r="F31" i="2"/>
  <c r="F30" i="2"/>
  <c r="F29" i="2"/>
  <c r="F28" i="2"/>
  <c r="F27" i="2"/>
  <c r="F26" i="2"/>
  <c r="F25" i="2"/>
  <c r="F18" i="2"/>
  <c r="F17" i="2"/>
  <c r="F16" i="2"/>
  <c r="F15" i="2"/>
  <c r="F14" i="2"/>
  <c r="F13" i="2"/>
  <c r="C3" i="2"/>
  <c r="A3" i="2"/>
  <c r="A1" i="2"/>
  <c r="D38" i="8" l="1"/>
  <c r="D38" i="6"/>
  <c r="D31" i="19"/>
  <c r="D21" i="13"/>
  <c r="D38" i="16"/>
  <c r="D25" i="15"/>
  <c r="C202" i="8"/>
  <c r="E202" i="8" s="1"/>
  <c r="N210" i="8"/>
  <c r="G211" i="8"/>
  <c r="G212" i="8" s="1"/>
  <c r="G213" i="8" s="1"/>
  <c r="G214" i="8" s="1"/>
  <c r="G215" i="8" s="1"/>
  <c r="G216" i="8" s="1"/>
  <c r="G217" i="8" s="1"/>
  <c r="G218" i="8" s="1"/>
  <c r="G219" i="8" s="1"/>
  <c r="G220" i="8" s="1"/>
  <c r="G221" i="8" s="1"/>
  <c r="G222" i="8" s="1"/>
  <c r="G223" i="8" s="1"/>
  <c r="G224" i="8" s="1"/>
  <c r="G225" i="8" s="1"/>
  <c r="N225" i="8" s="1"/>
  <c r="A2" i="2"/>
  <c r="D196" i="16"/>
  <c r="D195" i="16"/>
  <c r="D194" i="16"/>
  <c r="D36" i="13"/>
  <c r="D54" i="15"/>
  <c r="D53" i="15"/>
  <c r="D119" i="19"/>
  <c r="D152" i="8"/>
  <c r="D148" i="16"/>
  <c r="F201" i="16"/>
  <c r="E201" i="16"/>
  <c r="D201" i="16"/>
  <c r="D204" i="16" s="1"/>
  <c r="G198" i="16"/>
  <c r="D190" i="16"/>
  <c r="D192" i="16" s="1"/>
  <c r="G238" i="6"/>
  <c r="D236" i="6"/>
  <c r="F241" i="6"/>
  <c r="E241" i="6"/>
  <c r="D241" i="6"/>
  <c r="D155" i="6"/>
  <c r="F202" i="16" l="1"/>
  <c r="C203" i="8"/>
  <c r="E203" i="8" s="1"/>
  <c r="E203" i="16"/>
  <c r="F203" i="16"/>
  <c r="D203" i="16"/>
  <c r="E204" i="16"/>
  <c r="D202" i="16"/>
  <c r="E202" i="16"/>
  <c r="F204" i="16"/>
  <c r="D242" i="6"/>
  <c r="D243" i="6" s="1"/>
  <c r="F242" i="6"/>
  <c r="F243" i="6" s="1"/>
  <c r="E242" i="6"/>
  <c r="E243" i="6" s="1"/>
  <c r="C204" i="8" l="1"/>
  <c r="C205" i="8" s="1"/>
  <c r="E205" i="8" s="1"/>
  <c r="D205" i="16"/>
  <c r="D206" i="16" s="1"/>
  <c r="F205" i="16"/>
  <c r="F206" i="16" s="1"/>
  <c r="E205" i="16"/>
  <c r="E206" i="16" s="1"/>
  <c r="G243" i="6"/>
  <c r="C206" i="8" l="1"/>
  <c r="E204" i="8"/>
  <c r="E206" i="8"/>
  <c r="C207" i="8"/>
  <c r="G206" i="16"/>
  <c r="K93" i="16"/>
  <c r="K92" i="16"/>
  <c r="K91" i="16"/>
  <c r="O87" i="16" s="1"/>
  <c r="F67" i="16"/>
  <c r="E67" i="16"/>
  <c r="D67" i="16"/>
  <c r="F66" i="16"/>
  <c r="E66" i="16"/>
  <c r="D66" i="16"/>
  <c r="D98" i="15"/>
  <c r="D41" i="19"/>
  <c r="L8" i="19"/>
  <c r="K8" i="19"/>
  <c r="K93" i="19"/>
  <c r="D64" i="19"/>
  <c r="O44" i="19"/>
  <c r="K100" i="19" s="1"/>
  <c r="J47" i="16"/>
  <c r="J46" i="16"/>
  <c r="E207" i="8" l="1"/>
  <c r="C208" i="8"/>
  <c r="H66" i="16"/>
  <c r="H67" i="16"/>
  <c r="D70" i="6"/>
  <c r="D69" i="6"/>
  <c r="D68" i="6"/>
  <c r="N94" i="6"/>
  <c r="M94" i="6"/>
  <c r="L94" i="6"/>
  <c r="L93" i="6"/>
  <c r="N93" i="6"/>
  <c r="M93" i="6"/>
  <c r="N92" i="6"/>
  <c r="M92" i="6"/>
  <c r="L92" i="6"/>
  <c r="D258" i="6"/>
  <c r="D24" i="21"/>
  <c r="C25" i="21"/>
  <c r="C26" i="21" s="1"/>
  <c r="C27" i="21" s="1"/>
  <c r="C28" i="21" s="1"/>
  <c r="B25" i="21"/>
  <c r="B26" i="21" s="1"/>
  <c r="F70" i="6" l="1"/>
  <c r="E70" i="6"/>
  <c r="E73" i="6" s="1"/>
  <c r="E69" i="6"/>
  <c r="F69" i="6"/>
  <c r="F72" i="6" s="1"/>
  <c r="A6" i="4"/>
  <c r="A12" i="4" s="1"/>
  <c r="E208" i="8"/>
  <c r="C209" i="8"/>
  <c r="G100" i="2"/>
  <c r="G17" i="2"/>
  <c r="G18" i="2"/>
  <c r="G57" i="2"/>
  <c r="G148" i="2"/>
  <c r="G141" i="2"/>
  <c r="G140" i="2"/>
  <c r="G58" i="2"/>
  <c r="G123" i="2"/>
  <c r="G61" i="2"/>
  <c r="G63" i="2"/>
  <c r="G125" i="2"/>
  <c r="C125" i="2" s="1"/>
  <c r="G15" i="2"/>
  <c r="G14" i="2"/>
  <c r="E68" i="6"/>
  <c r="F68" i="6"/>
  <c r="D73" i="6"/>
  <c r="D71" i="6"/>
  <c r="D72" i="6"/>
  <c r="D26" i="21"/>
  <c r="D25" i="21"/>
  <c r="C29" i="21"/>
  <c r="C30" i="21" s="1"/>
  <c r="C31" i="21" s="1"/>
  <c r="C32" i="21" s="1"/>
  <c r="C33" i="21" s="1"/>
  <c r="C34" i="21" s="1"/>
  <c r="C35" i="21" s="1"/>
  <c r="B27" i="21"/>
  <c r="D27" i="21" s="1"/>
  <c r="E71" i="6" l="1"/>
  <c r="E72" i="6"/>
  <c r="F73" i="6"/>
  <c r="G60" i="2"/>
  <c r="C60" i="2" s="1"/>
  <c r="G13" i="2"/>
  <c r="C13" i="2" s="1"/>
  <c r="G101" i="2"/>
  <c r="G62" i="2"/>
  <c r="C62" i="2" s="1"/>
  <c r="G16" i="2"/>
  <c r="C16" i="2" s="1"/>
  <c r="G102" i="2"/>
  <c r="A24" i="4"/>
  <c r="A28" i="4" s="1"/>
  <c r="A31" i="4" s="1"/>
  <c r="E209" i="8"/>
  <c r="C210" i="8"/>
  <c r="G132" i="2"/>
  <c r="C132" i="2" s="1"/>
  <c r="D193" i="8" s="1"/>
  <c r="G133" i="2"/>
  <c r="C133" i="2" s="1"/>
  <c r="D194" i="8" s="1"/>
  <c r="G25" i="2"/>
  <c r="G26" i="2"/>
  <c r="C26" i="2" s="1"/>
  <c r="G59" i="2"/>
  <c r="C59" i="2" s="1"/>
  <c r="G33" i="2"/>
  <c r="G27" i="2"/>
  <c r="G30" i="2"/>
  <c r="G28" i="2"/>
  <c r="G29" i="2"/>
  <c r="G32" i="2"/>
  <c r="G34" i="2"/>
  <c r="C34" i="2" s="1"/>
  <c r="G31" i="2"/>
  <c r="C140" i="2"/>
  <c r="D90" i="15" s="1"/>
  <c r="C141" i="2"/>
  <c r="D95" i="15" s="1"/>
  <c r="C63" i="2"/>
  <c r="D90" i="19" s="1"/>
  <c r="C123" i="2"/>
  <c r="F71" i="6"/>
  <c r="C148" i="2"/>
  <c r="E123" i="2"/>
  <c r="C57" i="2"/>
  <c r="C58" i="2"/>
  <c r="C17" i="2"/>
  <c r="C14" i="2"/>
  <c r="C18" i="2"/>
  <c r="C15" i="2"/>
  <c r="B28" i="21"/>
  <c r="D28" i="21" s="1"/>
  <c r="C102" i="2" l="1"/>
  <c r="D102" i="2"/>
  <c r="B102" i="2"/>
  <c r="E210" i="8"/>
  <c r="C211" i="8"/>
  <c r="D123" i="2"/>
  <c r="D239" i="6"/>
  <c r="D199" i="16"/>
  <c r="E199" i="16"/>
  <c r="E239" i="6"/>
  <c r="F239" i="6"/>
  <c r="F199" i="16"/>
  <c r="C30" i="2"/>
  <c r="C28" i="2"/>
  <c r="C27" i="2"/>
  <c r="C31" i="2"/>
  <c r="C25" i="2"/>
  <c r="D55" i="6" s="1"/>
  <c r="C33" i="2"/>
  <c r="C29" i="2"/>
  <c r="C32" i="2"/>
  <c r="D64" i="13"/>
  <c r="C61" i="2"/>
  <c r="D89" i="19" s="1"/>
  <c r="C100" i="2"/>
  <c r="D100" i="2"/>
  <c r="B100" i="2"/>
  <c r="D101" i="2"/>
  <c r="C101" i="2"/>
  <c r="B101" i="2"/>
  <c r="D87" i="19"/>
  <c r="D48" i="15"/>
  <c r="D85" i="19"/>
  <c r="D86" i="19"/>
  <c r="D49" i="15"/>
  <c r="B29" i="21"/>
  <c r="D29" i="21" s="1"/>
  <c r="M100" i="19"/>
  <c r="Q96" i="19" s="1"/>
  <c r="L100" i="19"/>
  <c r="P96" i="19" s="1"/>
  <c r="O96" i="19"/>
  <c r="P93" i="19"/>
  <c r="G189" i="19"/>
  <c r="H189" i="19" s="1"/>
  <c r="E189" i="19"/>
  <c r="F87" i="19"/>
  <c r="F86" i="19"/>
  <c r="F85" i="19"/>
  <c r="H72" i="19"/>
  <c r="E72" i="19"/>
  <c r="D72" i="19"/>
  <c r="F61" i="19"/>
  <c r="E61" i="19"/>
  <c r="D61" i="19"/>
  <c r="E211" i="8" l="1"/>
  <c r="C212" i="8"/>
  <c r="F240" i="6"/>
  <c r="F244" i="6"/>
  <c r="D240" i="6"/>
  <c r="D244" i="6"/>
  <c r="F200" i="16"/>
  <c r="F207" i="16"/>
  <c r="D200" i="16"/>
  <c r="D207" i="16"/>
  <c r="E200" i="16"/>
  <c r="E207" i="16"/>
  <c r="E240" i="6"/>
  <c r="E244" i="6"/>
  <c r="D109" i="19"/>
  <c r="B30" i="21"/>
  <c r="D30" i="21" s="1"/>
  <c r="O100" i="19"/>
  <c r="O93" i="19"/>
  <c r="F72" i="19"/>
  <c r="E109" i="19" s="1"/>
  <c r="G72" i="19"/>
  <c r="F109" i="19" s="1"/>
  <c r="E212" i="8" l="1"/>
  <c r="C213" i="8"/>
  <c r="G200" i="16"/>
  <c r="G240" i="6"/>
  <c r="G207" i="16"/>
  <c r="G244" i="6"/>
  <c r="B31" i="21"/>
  <c r="D31" i="21" s="1"/>
  <c r="F189" i="19"/>
  <c r="J189" i="19" s="1"/>
  <c r="D63" i="19"/>
  <c r="D103" i="15"/>
  <c r="D55" i="19"/>
  <c r="E213" i="8" l="1"/>
  <c r="C214" i="8"/>
  <c r="D193" i="16"/>
  <c r="D235" i="6"/>
  <c r="B32" i="21"/>
  <c r="D32" i="21" s="1"/>
  <c r="D65" i="19"/>
  <c r="D66" i="19" s="1"/>
  <c r="D67" i="19"/>
  <c r="E214" i="8" l="1"/>
  <c r="C215" i="8"/>
  <c r="B33" i="21"/>
  <c r="D73" i="19"/>
  <c r="D75" i="19" s="1"/>
  <c r="E74" i="19"/>
  <c r="D74" i="19"/>
  <c r="F74" i="19"/>
  <c r="G74" i="19"/>
  <c r="E73" i="19"/>
  <c r="E75" i="19" s="1"/>
  <c r="E77" i="19" s="1"/>
  <c r="F73" i="19"/>
  <c r="F75" i="19" s="1"/>
  <c r="F77" i="19" s="1"/>
  <c r="G73" i="19"/>
  <c r="G75" i="19" s="1"/>
  <c r="G77" i="19" s="1"/>
  <c r="K47" i="19"/>
  <c r="M37" i="19"/>
  <c r="K45" i="19"/>
  <c r="M45" i="19" s="1"/>
  <c r="E110" i="19" l="1"/>
  <c r="F110" i="19"/>
  <c r="C216" i="8"/>
  <c r="E215" i="8"/>
  <c r="D76" i="19"/>
  <c r="D110" i="19"/>
  <c r="G76" i="19"/>
  <c r="D33" i="21"/>
  <c r="B34" i="21"/>
  <c r="D77" i="19"/>
  <c r="G78" i="19" s="1"/>
  <c r="E76" i="19"/>
  <c r="F76" i="19"/>
  <c r="D111" i="19" l="1"/>
  <c r="C217" i="8"/>
  <c r="E216" i="8"/>
  <c r="G81" i="19"/>
  <c r="F111" i="19"/>
  <c r="E111" i="19"/>
  <c r="G79" i="19"/>
  <c r="B35" i="21"/>
  <c r="D35" i="21" s="1"/>
  <c r="D34" i="21"/>
  <c r="D79" i="19"/>
  <c r="D81" i="19"/>
  <c r="F79" i="19"/>
  <c r="F81" i="19"/>
  <c r="E79" i="19"/>
  <c r="E81" i="19"/>
  <c r="E78" i="19"/>
  <c r="Q100" i="19" s="1"/>
  <c r="F78" i="19"/>
  <c r="K49" i="19"/>
  <c r="M49" i="19" s="1"/>
  <c r="K48" i="19"/>
  <c r="M48" i="19" s="1"/>
  <c r="M47" i="19"/>
  <c r="K44" i="19"/>
  <c r="M44" i="19" s="1"/>
  <c r="M46" i="19"/>
  <c r="K42" i="19"/>
  <c r="M42" i="19" s="1"/>
  <c r="K38" i="19"/>
  <c r="M38" i="19" s="1"/>
  <c r="K43" i="19"/>
  <c r="M43" i="19" s="1"/>
  <c r="D191" i="19"/>
  <c r="D192" i="19" s="1"/>
  <c r="D193" i="19" s="1"/>
  <c r="D194" i="19" s="1"/>
  <c r="D195" i="19" s="1"/>
  <c r="D196" i="19" s="1"/>
  <c r="D197" i="19" s="1"/>
  <c r="D198" i="19" s="1"/>
  <c r="D199" i="19" s="1"/>
  <c r="D200" i="19" s="1"/>
  <c r="D201" i="19" s="1"/>
  <c r="D202" i="19" s="1"/>
  <c r="C161" i="19"/>
  <c r="J103" i="19"/>
  <c r="D29" i="19"/>
  <c r="A28" i="19"/>
  <c r="G27" i="19"/>
  <c r="C22" i="19"/>
  <c r="C21" i="19"/>
  <c r="C20" i="19"/>
  <c r="M93" i="16"/>
  <c r="Q93" i="16" s="1"/>
  <c r="M92" i="16"/>
  <c r="M91" i="16"/>
  <c r="L93" i="16"/>
  <c r="P89" i="16" s="1"/>
  <c r="L92" i="16"/>
  <c r="L91" i="16"/>
  <c r="K84" i="16"/>
  <c r="Q83" i="6"/>
  <c r="Q87" i="6" s="1"/>
  <c r="L89" i="6"/>
  <c r="P85" i="6" s="1"/>
  <c r="P89" i="6" s="1"/>
  <c r="L88" i="6"/>
  <c r="P84" i="6" s="1"/>
  <c r="P88" i="6" s="1"/>
  <c r="O83" i="6"/>
  <c r="O87" i="6" s="1"/>
  <c r="K89" i="6"/>
  <c r="M89" i="6" s="1"/>
  <c r="Q85" i="6" s="1"/>
  <c r="Q89" i="6" s="1"/>
  <c r="K88" i="6"/>
  <c r="O84" i="6" s="1"/>
  <c r="O88" i="6" s="1"/>
  <c r="L87" i="6"/>
  <c r="P83" i="6" s="1"/>
  <c r="P87" i="6" s="1"/>
  <c r="K80" i="6"/>
  <c r="O80" i="6" s="1"/>
  <c r="N92" i="8"/>
  <c r="R88" i="8" s="1"/>
  <c r="R92" i="8" s="1"/>
  <c r="N91" i="8"/>
  <c r="R87" i="8" s="1"/>
  <c r="N90" i="8"/>
  <c r="L92" i="8"/>
  <c r="P88" i="8" s="1"/>
  <c r="L91" i="8"/>
  <c r="P87" i="8" s="1"/>
  <c r="L90" i="8"/>
  <c r="P86" i="8" s="1"/>
  <c r="P90" i="8" s="1"/>
  <c r="Q88" i="8"/>
  <c r="Q92" i="8" s="1"/>
  <c r="Q87" i="8"/>
  <c r="Q91" i="8" s="1"/>
  <c r="M90" i="8"/>
  <c r="Q86" i="8" s="1"/>
  <c r="K92" i="8"/>
  <c r="O88" i="8" s="1"/>
  <c r="K91" i="8"/>
  <c r="O87" i="8" s="1"/>
  <c r="K90" i="8"/>
  <c r="O86" i="8" s="1"/>
  <c r="O90" i="8" s="1"/>
  <c r="K83" i="8"/>
  <c r="O83" i="8" s="1"/>
  <c r="J148" i="8"/>
  <c r="K149" i="8"/>
  <c r="J149" i="8"/>
  <c r="K148" i="8"/>
  <c r="K147" i="8"/>
  <c r="P88" i="16" l="1"/>
  <c r="P92" i="16" s="1"/>
  <c r="G80" i="19"/>
  <c r="Q87" i="16"/>
  <c r="Q91" i="16" s="1"/>
  <c r="P87" i="16"/>
  <c r="P91" i="16" s="1"/>
  <c r="C218" i="8"/>
  <c r="E217" i="8"/>
  <c r="G190" i="19"/>
  <c r="H190" i="19" s="1"/>
  <c r="E190" i="19"/>
  <c r="G82" i="19"/>
  <c r="E82" i="19"/>
  <c r="E80" i="19"/>
  <c r="F80" i="19"/>
  <c r="R91" i="8"/>
  <c r="R86" i="8"/>
  <c r="P83" i="8"/>
  <c r="P80" i="6"/>
  <c r="O85" i="6"/>
  <c r="O89" i="6" s="1"/>
  <c r="M88" i="6"/>
  <c r="Q84" i="6" s="1"/>
  <c r="Q88" i="6" s="1"/>
  <c r="F82" i="19"/>
  <c r="P100" i="19"/>
  <c r="D103" i="19" s="1"/>
  <c r="C162" i="19"/>
  <c r="D56" i="19"/>
  <c r="D203" i="19"/>
  <c r="D204" i="19" s="1"/>
  <c r="D205" i="19" s="1"/>
  <c r="D206" i="19" s="1"/>
  <c r="D207" i="19" s="1"/>
  <c r="D208" i="19" s="1"/>
  <c r="D209" i="19" s="1"/>
  <c r="D210" i="19" s="1"/>
  <c r="D211" i="19" s="1"/>
  <c r="D212" i="19" s="1"/>
  <c r="D213" i="19" s="1"/>
  <c r="D214" i="19" s="1"/>
  <c r="D161" i="19"/>
  <c r="G28" i="19"/>
  <c r="D160" i="19"/>
  <c r="A29" i="19"/>
  <c r="D30" i="19"/>
  <c r="O91" i="8"/>
  <c r="O92" i="8"/>
  <c r="P93" i="16"/>
  <c r="Q92" i="16"/>
  <c r="Q90" i="8"/>
  <c r="P92" i="8"/>
  <c r="P91" i="8"/>
  <c r="N105" i="6"/>
  <c r="M106" i="6"/>
  <c r="M102" i="6"/>
  <c r="N100" i="6"/>
  <c r="N98" i="6"/>
  <c r="M96" i="6"/>
  <c r="P92" i="6"/>
  <c r="P94" i="6"/>
  <c r="P93" i="6"/>
  <c r="O94" i="6"/>
  <c r="O93" i="6"/>
  <c r="O92" i="6"/>
  <c r="D120" i="19" l="1"/>
  <c r="D123" i="19" s="1"/>
  <c r="D18" i="19" s="1"/>
  <c r="G161" i="19"/>
  <c r="D93" i="8"/>
  <c r="C219" i="8"/>
  <c r="E218" i="8"/>
  <c r="R90" i="8"/>
  <c r="M190" i="19"/>
  <c r="G160" i="19"/>
  <c r="E160" i="19"/>
  <c r="J160" i="19"/>
  <c r="F190" i="19"/>
  <c r="J190" i="19" s="1"/>
  <c r="J161" i="19" s="1"/>
  <c r="E161" i="19"/>
  <c r="D90" i="6"/>
  <c r="N101" i="6"/>
  <c r="M100" i="6"/>
  <c r="N102" i="6"/>
  <c r="C163" i="19"/>
  <c r="G192" i="19" s="1"/>
  <c r="G191" i="19"/>
  <c r="E191" i="19"/>
  <c r="D162" i="19"/>
  <c r="D121" i="19"/>
  <c r="A30" i="19"/>
  <c r="A31" i="19" s="1"/>
  <c r="G31" i="19" s="1"/>
  <c r="C190" i="19"/>
  <c r="G29" i="19"/>
  <c r="M105" i="6"/>
  <c r="M101" i="6"/>
  <c r="N104" i="6"/>
  <c r="N106" i="6"/>
  <c r="N96" i="6"/>
  <c r="M104" i="6"/>
  <c r="Q93" i="6"/>
  <c r="Q94" i="6"/>
  <c r="N97" i="6"/>
  <c r="M97" i="6"/>
  <c r="M98" i="6"/>
  <c r="Q92" i="6"/>
  <c r="C220" i="8" l="1"/>
  <c r="E219" i="8"/>
  <c r="C191" i="19"/>
  <c r="G162" i="19"/>
  <c r="K190" i="19"/>
  <c r="F191" i="19"/>
  <c r="E162" i="19"/>
  <c r="L191" i="19" s="1"/>
  <c r="L190" i="19"/>
  <c r="C164" i="19"/>
  <c r="G193" i="19" s="1"/>
  <c r="H193" i="19" s="1"/>
  <c r="E192" i="19"/>
  <c r="D163" i="19"/>
  <c r="H191" i="19"/>
  <c r="H192" i="19"/>
  <c r="G30" i="19"/>
  <c r="R92" i="6"/>
  <c r="R94" i="6"/>
  <c r="R93" i="6"/>
  <c r="C221" i="8" l="1"/>
  <c r="E220" i="8"/>
  <c r="C192" i="19"/>
  <c r="G163" i="19"/>
  <c r="M192" i="19" s="1"/>
  <c r="M191" i="19"/>
  <c r="J191" i="19"/>
  <c r="J162" i="19" s="1"/>
  <c r="F192" i="19"/>
  <c r="J192" i="19" s="1"/>
  <c r="J163" i="19" s="1"/>
  <c r="E163" i="19"/>
  <c r="C165" i="19"/>
  <c r="G194" i="19" s="1"/>
  <c r="H194" i="19" s="1"/>
  <c r="E193" i="19"/>
  <c r="D164" i="19"/>
  <c r="G164" i="19" s="1"/>
  <c r="N99" i="6"/>
  <c r="N103" i="6"/>
  <c r="M103" i="6"/>
  <c r="M107" i="6"/>
  <c r="N107" i="6"/>
  <c r="M99" i="6"/>
  <c r="C193" i="19" l="1"/>
  <c r="C222" i="8"/>
  <c r="E221" i="8"/>
  <c r="M193" i="19"/>
  <c r="F193" i="19"/>
  <c r="J193" i="19" s="1"/>
  <c r="J164" i="19" s="1"/>
  <c r="E164" i="19"/>
  <c r="L193" i="19" s="1"/>
  <c r="K192" i="19"/>
  <c r="K191" i="19"/>
  <c r="L192" i="19"/>
  <c r="C166" i="19"/>
  <c r="G195" i="19" s="1"/>
  <c r="H195" i="19" s="1"/>
  <c r="E194" i="19"/>
  <c r="D165" i="19"/>
  <c r="D18" i="13"/>
  <c r="D70" i="13" s="1"/>
  <c r="J45" i="16"/>
  <c r="J47" i="8"/>
  <c r="J46" i="8"/>
  <c r="J45" i="8"/>
  <c r="C123" i="17"/>
  <c r="F123" i="17" s="1"/>
  <c r="B123" i="17"/>
  <c r="E123" i="17" s="1"/>
  <c r="C121" i="17"/>
  <c r="F121" i="17" s="1"/>
  <c r="G72" i="17" s="1"/>
  <c r="J72" i="17" s="1"/>
  <c r="M72" i="17" s="1"/>
  <c r="P72" i="17" s="1"/>
  <c r="B121" i="17"/>
  <c r="E121" i="17" s="1"/>
  <c r="G66" i="17" s="1"/>
  <c r="J66" i="17" s="1"/>
  <c r="M66" i="17" s="1"/>
  <c r="P66" i="17" s="1"/>
  <c r="C120" i="17"/>
  <c r="F120" i="17" s="1"/>
  <c r="F72" i="17" s="1"/>
  <c r="I72" i="17" s="1"/>
  <c r="L72" i="17" s="1"/>
  <c r="O72" i="17" s="1"/>
  <c r="B120" i="17"/>
  <c r="E120" i="17" s="1"/>
  <c r="F66" i="17" s="1"/>
  <c r="I66" i="17" s="1"/>
  <c r="L66" i="17" s="1"/>
  <c r="O66" i="17" s="1"/>
  <c r="C119" i="17"/>
  <c r="F119" i="17" s="1"/>
  <c r="B119" i="17"/>
  <c r="E119" i="17" s="1"/>
  <c r="C117" i="17"/>
  <c r="F117" i="17" s="1"/>
  <c r="G60" i="17" s="1"/>
  <c r="J60" i="17" s="1"/>
  <c r="M60" i="17" s="1"/>
  <c r="P60" i="17" s="1"/>
  <c r="B117" i="17"/>
  <c r="E117" i="17" s="1"/>
  <c r="G54" i="17" s="1"/>
  <c r="J54" i="17" s="1"/>
  <c r="M54" i="17" s="1"/>
  <c r="P54" i="17" s="1"/>
  <c r="C116" i="17"/>
  <c r="F116" i="17" s="1"/>
  <c r="F60" i="17" s="1"/>
  <c r="I60" i="17" s="1"/>
  <c r="L60" i="17" s="1"/>
  <c r="O60" i="17" s="1"/>
  <c r="B116" i="17"/>
  <c r="E116" i="17" s="1"/>
  <c r="F54" i="17" s="1"/>
  <c r="I54" i="17" s="1"/>
  <c r="L54" i="17" s="1"/>
  <c r="O54" i="17" s="1"/>
  <c r="C115" i="17"/>
  <c r="F115" i="17" s="1"/>
  <c r="B115" i="17"/>
  <c r="E115" i="17" s="1"/>
  <c r="C113" i="17"/>
  <c r="F113" i="17" s="1"/>
  <c r="G48" i="17" s="1"/>
  <c r="J48" i="17" s="1"/>
  <c r="M48" i="17" s="1"/>
  <c r="P48" i="17" s="1"/>
  <c r="B113" i="17"/>
  <c r="E113" i="17" s="1"/>
  <c r="G42" i="17" s="1"/>
  <c r="J42" i="17" s="1"/>
  <c r="M42" i="17" s="1"/>
  <c r="P42" i="17" s="1"/>
  <c r="C112" i="17"/>
  <c r="F112" i="17" s="1"/>
  <c r="F48" i="17" s="1"/>
  <c r="I48" i="17" s="1"/>
  <c r="L48" i="17" s="1"/>
  <c r="O48" i="17" s="1"/>
  <c r="B112" i="17"/>
  <c r="E112" i="17" s="1"/>
  <c r="F42" i="17" s="1"/>
  <c r="I42" i="17" s="1"/>
  <c r="L42" i="17" s="1"/>
  <c r="O42" i="17" s="1"/>
  <c r="B110" i="17"/>
  <c r="D110" i="17" s="1"/>
  <c r="B109" i="17"/>
  <c r="D109" i="17" s="1"/>
  <c r="B108" i="17"/>
  <c r="D108" i="17" s="1"/>
  <c r="B107" i="17"/>
  <c r="D107" i="17" s="1"/>
  <c r="B104" i="17"/>
  <c r="D104" i="17" s="1"/>
  <c r="B103" i="17"/>
  <c r="D103" i="17" s="1"/>
  <c r="B102" i="17"/>
  <c r="D102" i="17" s="1"/>
  <c r="B99" i="17"/>
  <c r="D99" i="17" s="1"/>
  <c r="B97" i="17"/>
  <c r="B96" i="17"/>
  <c r="D96" i="17" s="1"/>
  <c r="B95" i="17"/>
  <c r="I97" i="17" s="1"/>
  <c r="M89" i="17"/>
  <c r="L89" i="17"/>
  <c r="J89" i="17"/>
  <c r="I89" i="17"/>
  <c r="M88" i="17"/>
  <c r="L88" i="17"/>
  <c r="J88" i="17"/>
  <c r="I88" i="17"/>
  <c r="M87" i="17"/>
  <c r="L87" i="17"/>
  <c r="J87" i="17"/>
  <c r="I87" i="17"/>
  <c r="A36" i="17"/>
  <c r="B34" i="17"/>
  <c r="A29" i="17"/>
  <c r="B27" i="17"/>
  <c r="A22" i="17"/>
  <c r="B20" i="17"/>
  <c r="A16" i="17"/>
  <c r="B13" i="17"/>
  <c r="A8" i="17"/>
  <c r="B6" i="17"/>
  <c r="K248" i="16"/>
  <c r="K249" i="16" s="1"/>
  <c r="K250" i="16" s="1"/>
  <c r="K251" i="16" s="1"/>
  <c r="K252" i="16" s="1"/>
  <c r="K253" i="16" s="1"/>
  <c r="K254" i="16" s="1"/>
  <c r="K255" i="16" s="1"/>
  <c r="K256" i="16" s="1"/>
  <c r="K257" i="16" s="1"/>
  <c r="K258" i="16" s="1"/>
  <c r="K259" i="16" s="1"/>
  <c r="G248" i="16"/>
  <c r="G249" i="16" s="1"/>
  <c r="G250" i="16" s="1"/>
  <c r="G251" i="16" s="1"/>
  <c r="G252" i="16" s="1"/>
  <c r="G253" i="16" s="1"/>
  <c r="G254" i="16" s="1"/>
  <c r="G255" i="16" s="1"/>
  <c r="G256" i="16" s="1"/>
  <c r="C247" i="16"/>
  <c r="M246" i="16"/>
  <c r="E79" i="16"/>
  <c r="K80" i="16" s="1"/>
  <c r="D79" i="16"/>
  <c r="J80" i="16" s="1"/>
  <c r="E75" i="16"/>
  <c r="K76" i="16" s="1"/>
  <c r="D75" i="16"/>
  <c r="J76" i="16" s="1"/>
  <c r="E71" i="16"/>
  <c r="K72" i="16" s="1"/>
  <c r="D71" i="16"/>
  <c r="J72" i="16" s="1"/>
  <c r="J121" i="16" s="1"/>
  <c r="F65" i="16"/>
  <c r="E65" i="16"/>
  <c r="D65" i="16"/>
  <c r="D57" i="16"/>
  <c r="D36" i="16"/>
  <c r="D35" i="16"/>
  <c r="D246" i="16" s="1"/>
  <c r="A35" i="16"/>
  <c r="G34" i="16"/>
  <c r="C31" i="16"/>
  <c r="C30" i="16"/>
  <c r="C29" i="16"/>
  <c r="C28" i="16"/>
  <c r="C11" i="15"/>
  <c r="C9" i="15"/>
  <c r="C8" i="15"/>
  <c r="C7" i="15"/>
  <c r="D104" i="15"/>
  <c r="J52" i="15"/>
  <c r="D52" i="15" s="1"/>
  <c r="D150" i="15"/>
  <c r="D151" i="15" s="1"/>
  <c r="D152" i="15" s="1"/>
  <c r="D153" i="15" s="1"/>
  <c r="D154" i="15" s="1"/>
  <c r="D155" i="15" s="1"/>
  <c r="D156" i="15" s="1"/>
  <c r="D157" i="15" s="1"/>
  <c r="D158" i="15" s="1"/>
  <c r="D159" i="15" s="1"/>
  <c r="D160" i="15" s="1"/>
  <c r="D161" i="15" s="1"/>
  <c r="J148" i="15"/>
  <c r="C120" i="15"/>
  <c r="D31" i="15"/>
  <c r="D23" i="15"/>
  <c r="D22" i="15"/>
  <c r="D24" i="15" s="1"/>
  <c r="D64" i="15" s="1"/>
  <c r="A22" i="15"/>
  <c r="G21" i="15"/>
  <c r="C17" i="15"/>
  <c r="C16" i="15"/>
  <c r="C15" i="15"/>
  <c r="D101" i="13"/>
  <c r="D102" i="13" s="1"/>
  <c r="D103" i="13" s="1"/>
  <c r="D104" i="13" s="1"/>
  <c r="D105" i="13" s="1"/>
  <c r="D106" i="13" s="1"/>
  <c r="D107" i="13" s="1"/>
  <c r="D108" i="13" s="1"/>
  <c r="D109" i="13" s="1"/>
  <c r="D110" i="13" s="1"/>
  <c r="D111" i="13" s="1"/>
  <c r="D112" i="13" s="1"/>
  <c r="G72" i="13"/>
  <c r="G73" i="13" s="1"/>
  <c r="G74" i="13" s="1"/>
  <c r="G75" i="13" s="1"/>
  <c r="G76" i="13" s="1"/>
  <c r="G77" i="13" s="1"/>
  <c r="G78" i="13" s="1"/>
  <c r="G79" i="13" s="1"/>
  <c r="G80" i="13" s="1"/>
  <c r="C71" i="13"/>
  <c r="J35" i="13"/>
  <c r="D35" i="13" s="1"/>
  <c r="F27" i="13"/>
  <c r="E27" i="13"/>
  <c r="D27" i="13"/>
  <c r="D19" i="13"/>
  <c r="A18" i="13"/>
  <c r="G17" i="13"/>
  <c r="C13" i="13"/>
  <c r="C12" i="13"/>
  <c r="C11" i="13"/>
  <c r="C167" i="19" l="1"/>
  <c r="G196" i="19" s="1"/>
  <c r="H196" i="19" s="1"/>
  <c r="D166" i="19"/>
  <c r="C195" i="19" s="1"/>
  <c r="C223" i="8"/>
  <c r="E222" i="8"/>
  <c r="G166" i="19"/>
  <c r="C194" i="19"/>
  <c r="G165" i="19"/>
  <c r="C121" i="15"/>
  <c r="C122" i="15" s="1"/>
  <c r="H151" i="15" s="1"/>
  <c r="H149" i="15"/>
  <c r="E149" i="15"/>
  <c r="C72" i="13"/>
  <c r="C73" i="13" s="1"/>
  <c r="E102" i="13" s="1"/>
  <c r="E100" i="13"/>
  <c r="C248" i="16"/>
  <c r="C249" i="16" s="1"/>
  <c r="D249" i="16" s="1"/>
  <c r="E247" i="16"/>
  <c r="K193" i="19"/>
  <c r="F194" i="19"/>
  <c r="J194" i="19" s="1"/>
  <c r="J165" i="19" s="1"/>
  <c r="K194" i="19" s="1"/>
  <c r="E165" i="19"/>
  <c r="D98" i="16"/>
  <c r="E195" i="19"/>
  <c r="C118" i="17"/>
  <c r="F118" i="17" s="1"/>
  <c r="H60" i="17" s="1"/>
  <c r="K60" i="17" s="1"/>
  <c r="N60" i="17" s="1"/>
  <c r="Q60" i="17" s="1"/>
  <c r="L97" i="17"/>
  <c r="J97" i="17"/>
  <c r="M97" i="17"/>
  <c r="E196" i="19"/>
  <c r="C168" i="19"/>
  <c r="G197" i="19" s="1"/>
  <c r="H197" i="19" s="1"/>
  <c r="O93" i="16"/>
  <c r="O92" i="16"/>
  <c r="O91" i="16"/>
  <c r="B118" i="17"/>
  <c r="E118" i="17" s="1"/>
  <c r="H54" i="17" s="1"/>
  <c r="K54" i="17" s="1"/>
  <c r="N54" i="17" s="1"/>
  <c r="Q54" i="17" s="1"/>
  <c r="F28" i="13"/>
  <c r="D20" i="13"/>
  <c r="D40" i="13" s="1"/>
  <c r="C122" i="17"/>
  <c r="F122" i="17" s="1"/>
  <c r="H72" i="17" s="1"/>
  <c r="K72" i="17" s="1"/>
  <c r="N72" i="17" s="1"/>
  <c r="Q72" i="17" s="1"/>
  <c r="B122" i="17"/>
  <c r="E122" i="17" s="1"/>
  <c r="H66" i="17" s="1"/>
  <c r="K66" i="17" s="1"/>
  <c r="N66" i="17" s="1"/>
  <c r="Q66" i="17" s="1"/>
  <c r="C114" i="17"/>
  <c r="F114" i="17" s="1"/>
  <c r="H48" i="17" s="1"/>
  <c r="K48" i="17" s="1"/>
  <c r="N48" i="17" s="1"/>
  <c r="Q48" i="17" s="1"/>
  <c r="B114" i="17"/>
  <c r="E114" i="17" s="1"/>
  <c r="H42" i="17" s="1"/>
  <c r="K42" i="17" s="1"/>
  <c r="N42" i="17" s="1"/>
  <c r="Q42" i="17" s="1"/>
  <c r="E47" i="17"/>
  <c r="I47" i="17" s="1"/>
  <c r="D106" i="17"/>
  <c r="E46" i="17" s="1"/>
  <c r="D105" i="17"/>
  <c r="E57" i="17" s="1"/>
  <c r="E71" i="17"/>
  <c r="D98" i="17"/>
  <c r="E59" i="17"/>
  <c r="A36" i="16"/>
  <c r="G36" i="16" s="1"/>
  <c r="G35" i="16"/>
  <c r="J115" i="16"/>
  <c r="D96" i="16"/>
  <c r="J123" i="16"/>
  <c r="K260" i="16"/>
  <c r="K261" i="16" s="1"/>
  <c r="K262" i="16" s="1"/>
  <c r="K263" i="16" s="1"/>
  <c r="K264" i="16" s="1"/>
  <c r="K265" i="16" s="1"/>
  <c r="K266" i="16" s="1"/>
  <c r="K267" i="16" s="1"/>
  <c r="K268" i="16" s="1"/>
  <c r="K269" i="16" s="1"/>
  <c r="K270" i="16" s="1"/>
  <c r="K271" i="16" s="1"/>
  <c r="J122" i="16"/>
  <c r="D97" i="16"/>
  <c r="G257" i="16"/>
  <c r="G258" i="16" s="1"/>
  <c r="G259" i="16" s="1"/>
  <c r="G260" i="16" s="1"/>
  <c r="G261" i="16" s="1"/>
  <c r="G262" i="16" s="1"/>
  <c r="G263" i="16" s="1"/>
  <c r="G264" i="16" s="1"/>
  <c r="G265" i="16" s="1"/>
  <c r="G266" i="16" s="1"/>
  <c r="G267" i="16" s="1"/>
  <c r="G268" i="16" s="1"/>
  <c r="G269" i="16" s="1"/>
  <c r="G270" i="16" s="1"/>
  <c r="G271" i="16" s="1"/>
  <c r="N271" i="16" s="1"/>
  <c r="N256" i="16"/>
  <c r="H65" i="16"/>
  <c r="D247" i="16"/>
  <c r="D37" i="16"/>
  <c r="D120" i="15"/>
  <c r="D162" i="15"/>
  <c r="D163" i="15" s="1"/>
  <c r="D164" i="15" s="1"/>
  <c r="D165" i="15" s="1"/>
  <c r="D166" i="15" s="1"/>
  <c r="D167" i="15" s="1"/>
  <c r="D168" i="15" s="1"/>
  <c r="D169" i="15" s="1"/>
  <c r="D170" i="15" s="1"/>
  <c r="D171" i="15" s="1"/>
  <c r="D172" i="15" s="1"/>
  <c r="D173" i="15" s="1"/>
  <c r="A23" i="15"/>
  <c r="A24" i="15" s="1"/>
  <c r="G24" i="15" s="1"/>
  <c r="G22" i="15"/>
  <c r="D32" i="15"/>
  <c r="D63" i="15" s="1"/>
  <c r="D65" i="15" s="1"/>
  <c r="D119" i="15"/>
  <c r="D28" i="13"/>
  <c r="D72" i="13"/>
  <c r="D113" i="13"/>
  <c r="D114" i="13" s="1"/>
  <c r="D115" i="13" s="1"/>
  <c r="D116" i="13" s="1"/>
  <c r="D117" i="13" s="1"/>
  <c r="D118" i="13" s="1"/>
  <c r="D119" i="13" s="1"/>
  <c r="D120" i="13" s="1"/>
  <c r="D121" i="13" s="1"/>
  <c r="D122" i="13" s="1"/>
  <c r="D123" i="13" s="1"/>
  <c r="D124" i="13" s="1"/>
  <c r="G81" i="13"/>
  <c r="G82" i="13" s="1"/>
  <c r="G83" i="13" s="1"/>
  <c r="G84" i="13" s="1"/>
  <c r="G85" i="13" s="1"/>
  <c r="G86" i="13" s="1"/>
  <c r="G87" i="13" s="1"/>
  <c r="G88" i="13" s="1"/>
  <c r="G89" i="13" s="1"/>
  <c r="G90" i="13" s="1"/>
  <c r="G91" i="13" s="1"/>
  <c r="G92" i="13" s="1"/>
  <c r="G93" i="13" s="1"/>
  <c r="G94" i="13" s="1"/>
  <c r="G95" i="13" s="1"/>
  <c r="G18" i="13"/>
  <c r="D71" i="13"/>
  <c r="A19" i="13"/>
  <c r="G19" i="13" s="1"/>
  <c r="E28" i="13"/>
  <c r="A25" i="15" l="1"/>
  <c r="F100" i="13"/>
  <c r="G100" i="13" s="1"/>
  <c r="H150" i="15"/>
  <c r="D167" i="19"/>
  <c r="G167" i="19" s="1"/>
  <c r="C224" i="8"/>
  <c r="E223" i="8"/>
  <c r="D122" i="15"/>
  <c r="D149" i="16"/>
  <c r="D150" i="16" s="1"/>
  <c r="M195" i="19"/>
  <c r="M194" i="19"/>
  <c r="D121" i="15"/>
  <c r="I150" i="15" s="1"/>
  <c r="C123" i="15"/>
  <c r="H152" i="15" s="1"/>
  <c r="E151" i="15"/>
  <c r="E150" i="15"/>
  <c r="D73" i="13"/>
  <c r="F102" i="13" s="1"/>
  <c r="E101" i="13"/>
  <c r="F101" i="13" s="1"/>
  <c r="C74" i="13"/>
  <c r="D74" i="13" s="1"/>
  <c r="D39" i="13"/>
  <c r="D41" i="13" s="1"/>
  <c r="C149" i="15"/>
  <c r="F149" i="15"/>
  <c r="I149" i="15"/>
  <c r="D248" i="16"/>
  <c r="J249" i="16" s="1"/>
  <c r="E248" i="16"/>
  <c r="F247" i="16"/>
  <c r="L247" i="16" s="1"/>
  <c r="J247" i="16"/>
  <c r="F196" i="19"/>
  <c r="J196" i="19" s="1"/>
  <c r="F195" i="19"/>
  <c r="J195" i="19" s="1"/>
  <c r="J166" i="19" s="1"/>
  <c r="E166" i="19"/>
  <c r="L195" i="19" s="1"/>
  <c r="L194" i="19"/>
  <c r="F98" i="16"/>
  <c r="E98" i="16"/>
  <c r="E97" i="16"/>
  <c r="F97" i="16"/>
  <c r="F96" i="16"/>
  <c r="E96" i="16"/>
  <c r="C169" i="19"/>
  <c r="G198" i="19" s="1"/>
  <c r="H198" i="19" s="1"/>
  <c r="E197" i="19"/>
  <c r="D168" i="19"/>
  <c r="G168" i="19" s="1"/>
  <c r="E45" i="17"/>
  <c r="E51" i="17" s="1"/>
  <c r="E70" i="17"/>
  <c r="L70" i="17" s="1"/>
  <c r="Q47" i="17"/>
  <c r="F47" i="17"/>
  <c r="L47" i="17"/>
  <c r="E58" i="17"/>
  <c r="F58" i="17" s="1"/>
  <c r="E69" i="17"/>
  <c r="Q69" i="17" s="1"/>
  <c r="P47" i="17"/>
  <c r="E53" i="17"/>
  <c r="N53" i="17" s="1"/>
  <c r="O47" i="17"/>
  <c r="M47" i="17"/>
  <c r="H47" i="17"/>
  <c r="N47" i="17"/>
  <c r="K47" i="17"/>
  <c r="J47" i="17"/>
  <c r="G47" i="17"/>
  <c r="Q45" i="17"/>
  <c r="D100" i="17"/>
  <c r="D101" i="17"/>
  <c r="Q59" i="17"/>
  <c r="M59" i="17"/>
  <c r="I59" i="17"/>
  <c r="J59" i="17"/>
  <c r="K59" i="17"/>
  <c r="P59" i="17"/>
  <c r="L59" i="17"/>
  <c r="H59" i="17"/>
  <c r="E65" i="17"/>
  <c r="N59" i="17"/>
  <c r="F59" i="17"/>
  <c r="O59" i="17"/>
  <c r="G59" i="17"/>
  <c r="O57" i="17"/>
  <c r="K57" i="17"/>
  <c r="G57" i="17"/>
  <c r="L57" i="17"/>
  <c r="E63" i="17"/>
  <c r="N57" i="17"/>
  <c r="J57" i="17"/>
  <c r="F57" i="17"/>
  <c r="P57" i="17"/>
  <c r="H57" i="17"/>
  <c r="I57" i="17"/>
  <c r="M57" i="17"/>
  <c r="Q57" i="17"/>
  <c r="P46" i="17"/>
  <c r="L46" i="17"/>
  <c r="H46" i="17"/>
  <c r="M46" i="17"/>
  <c r="O46" i="17"/>
  <c r="K46" i="17"/>
  <c r="G46" i="17"/>
  <c r="Q46" i="17"/>
  <c r="I46" i="17"/>
  <c r="E52" i="17"/>
  <c r="F46" i="17"/>
  <c r="J46" i="17"/>
  <c r="N46" i="17"/>
  <c r="O71" i="17"/>
  <c r="K71" i="17"/>
  <c r="G71" i="17"/>
  <c r="P71" i="17"/>
  <c r="L71" i="17"/>
  <c r="M71" i="17"/>
  <c r="E77" i="17"/>
  <c r="N71" i="17"/>
  <c r="J71" i="17"/>
  <c r="F71" i="17"/>
  <c r="H71" i="17"/>
  <c r="Q71" i="17"/>
  <c r="I71" i="17"/>
  <c r="A37" i="16"/>
  <c r="A38" i="16" s="1"/>
  <c r="G38" i="16" s="1"/>
  <c r="D100" i="16"/>
  <c r="K122" i="16" s="1"/>
  <c r="D122" i="16" s="1"/>
  <c r="D101" i="16"/>
  <c r="K123" i="16" s="1"/>
  <c r="D123" i="16" s="1"/>
  <c r="E249" i="16"/>
  <c r="F249" i="16" s="1"/>
  <c r="C250" i="16"/>
  <c r="D99" i="16"/>
  <c r="K121" i="16" s="1"/>
  <c r="D121" i="16" s="1"/>
  <c r="D124" i="16" s="1"/>
  <c r="D133" i="16" s="1"/>
  <c r="G23" i="15"/>
  <c r="D67" i="15"/>
  <c r="D13" i="15" s="1"/>
  <c r="C101" i="13"/>
  <c r="C100" i="13"/>
  <c r="E103" i="13"/>
  <c r="A20" i="13"/>
  <c r="A21" i="13" s="1"/>
  <c r="M197" i="19" l="1"/>
  <c r="F151" i="15"/>
  <c r="J167" i="19"/>
  <c r="K196" i="19" s="1"/>
  <c r="C196" i="19"/>
  <c r="E167" i="19"/>
  <c r="I151" i="15"/>
  <c r="J151" i="15" s="1"/>
  <c r="C225" i="8"/>
  <c r="E225" i="8" s="1"/>
  <c r="E224" i="8"/>
  <c r="D123" i="15"/>
  <c r="C152" i="15" s="1"/>
  <c r="C102" i="13"/>
  <c r="D151" i="16"/>
  <c r="M196" i="19"/>
  <c r="C151" i="15"/>
  <c r="C124" i="15"/>
  <c r="H153" i="15" s="1"/>
  <c r="F150" i="15"/>
  <c r="G150" i="15" s="1"/>
  <c r="C150" i="15"/>
  <c r="E152" i="15"/>
  <c r="G102" i="13"/>
  <c r="G101" i="13"/>
  <c r="F103" i="13"/>
  <c r="G103" i="13" s="1"/>
  <c r="C75" i="13"/>
  <c r="D75" i="13" s="1"/>
  <c r="C103" i="13"/>
  <c r="G149" i="15"/>
  <c r="J150" i="15"/>
  <c r="J149" i="15"/>
  <c r="F248" i="16"/>
  <c r="L249" i="16" s="1"/>
  <c r="J248" i="16"/>
  <c r="M248" i="16" s="1"/>
  <c r="K195" i="19"/>
  <c r="L196" i="19"/>
  <c r="F197" i="19"/>
  <c r="J197" i="19" s="1"/>
  <c r="J168" i="19" s="1"/>
  <c r="E168" i="19"/>
  <c r="D42" i="13"/>
  <c r="D9" i="13" s="1"/>
  <c r="D127" i="16"/>
  <c r="D130" i="16"/>
  <c r="D126" i="16"/>
  <c r="D132" i="16"/>
  <c r="D129" i="16"/>
  <c r="D131" i="16"/>
  <c r="D128" i="16"/>
  <c r="D125" i="16"/>
  <c r="E198" i="19"/>
  <c r="C170" i="19"/>
  <c r="G199" i="19" s="1"/>
  <c r="D169" i="19"/>
  <c r="G169" i="19" s="1"/>
  <c r="C197" i="19"/>
  <c r="E64" i="17"/>
  <c r="M64" i="17" s="1"/>
  <c r="F45" i="17"/>
  <c r="N45" i="17"/>
  <c r="O45" i="17"/>
  <c r="P45" i="17"/>
  <c r="M45" i="17"/>
  <c r="G45" i="17"/>
  <c r="L45" i="17"/>
  <c r="I45" i="17"/>
  <c r="J45" i="17"/>
  <c r="K45" i="17"/>
  <c r="H45" i="17"/>
  <c r="N70" i="17"/>
  <c r="O70" i="17"/>
  <c r="H70" i="17"/>
  <c r="J70" i="17"/>
  <c r="K70" i="17"/>
  <c r="F70" i="17"/>
  <c r="G70" i="17"/>
  <c r="I70" i="17"/>
  <c r="P70" i="17"/>
  <c r="Q70" i="17"/>
  <c r="M70" i="17"/>
  <c r="E76" i="17"/>
  <c r="O76" i="17" s="1"/>
  <c r="M53" i="17"/>
  <c r="P53" i="17"/>
  <c r="O58" i="17"/>
  <c r="M58" i="17"/>
  <c r="L58" i="17"/>
  <c r="L69" i="17"/>
  <c r="F53" i="17"/>
  <c r="J69" i="17"/>
  <c r="P69" i="17"/>
  <c r="M69" i="17"/>
  <c r="F69" i="17"/>
  <c r="I69" i="17"/>
  <c r="I58" i="17"/>
  <c r="G58" i="17"/>
  <c r="N58" i="17"/>
  <c r="O69" i="17"/>
  <c r="H69" i="17"/>
  <c r="E75" i="17"/>
  <c r="L75" i="17" s="1"/>
  <c r="K58" i="17"/>
  <c r="P58" i="17"/>
  <c r="J58" i="17"/>
  <c r="G69" i="17"/>
  <c r="N69" i="17"/>
  <c r="K69" i="17"/>
  <c r="H58" i="17"/>
  <c r="Q58" i="17"/>
  <c r="H53" i="17"/>
  <c r="I53" i="17"/>
  <c r="O53" i="17"/>
  <c r="L53" i="17"/>
  <c r="Q53" i="17"/>
  <c r="J53" i="17"/>
  <c r="G53" i="17"/>
  <c r="K53" i="17"/>
  <c r="O52" i="17"/>
  <c r="K52" i="17"/>
  <c r="G52" i="17"/>
  <c r="P52" i="17"/>
  <c r="H52" i="17"/>
  <c r="N52" i="17"/>
  <c r="J52" i="17"/>
  <c r="F52" i="17"/>
  <c r="L52" i="17"/>
  <c r="I52" i="17"/>
  <c r="M52" i="17"/>
  <c r="Q52" i="17"/>
  <c r="P65" i="17"/>
  <c r="L65" i="17"/>
  <c r="H65" i="17"/>
  <c r="M65" i="17"/>
  <c r="N65" i="17"/>
  <c r="J65" i="17"/>
  <c r="O65" i="17"/>
  <c r="K65" i="17"/>
  <c r="G65" i="17"/>
  <c r="Q65" i="17"/>
  <c r="I65" i="17"/>
  <c r="F65" i="17"/>
  <c r="N63" i="17"/>
  <c r="J63" i="17"/>
  <c r="F63" i="17"/>
  <c r="K63" i="17"/>
  <c r="L63" i="17"/>
  <c r="Q63" i="17"/>
  <c r="M63" i="17"/>
  <c r="I63" i="17"/>
  <c r="O63" i="17"/>
  <c r="G63" i="17"/>
  <c r="P63" i="17"/>
  <c r="H63" i="17"/>
  <c r="E55" i="17"/>
  <c r="E43" i="17"/>
  <c r="E67" i="17"/>
  <c r="N77" i="17"/>
  <c r="J77" i="17"/>
  <c r="F77" i="17"/>
  <c r="O77" i="17"/>
  <c r="H77" i="17"/>
  <c r="Q77" i="17"/>
  <c r="M77" i="17"/>
  <c r="I77" i="17"/>
  <c r="K77" i="17"/>
  <c r="G77" i="17"/>
  <c r="P77" i="17"/>
  <c r="L77" i="17"/>
  <c r="E44" i="17"/>
  <c r="E56" i="17"/>
  <c r="E68" i="17"/>
  <c r="P51" i="17"/>
  <c r="L51" i="17"/>
  <c r="H51" i="17"/>
  <c r="M51" i="17"/>
  <c r="O51" i="17"/>
  <c r="K51" i="17"/>
  <c r="G51" i="17"/>
  <c r="Q51" i="17"/>
  <c r="I51" i="17"/>
  <c r="F51" i="17"/>
  <c r="J51" i="17"/>
  <c r="N51" i="17"/>
  <c r="A40" i="16"/>
  <c r="G37" i="16"/>
  <c r="M249" i="16"/>
  <c r="F101" i="16"/>
  <c r="M123" i="16" s="1"/>
  <c r="E101" i="16"/>
  <c r="E99" i="16"/>
  <c r="F99" i="16"/>
  <c r="M121" i="16" s="1"/>
  <c r="E100" i="16"/>
  <c r="F100" i="16"/>
  <c r="M122" i="16" s="1"/>
  <c r="E250" i="16"/>
  <c r="C251" i="16"/>
  <c r="D250" i="16"/>
  <c r="J67" i="15"/>
  <c r="K67" i="15"/>
  <c r="G20" i="13"/>
  <c r="C125" i="15" l="1"/>
  <c r="H154" i="15" s="1"/>
  <c r="E153" i="15"/>
  <c r="K197" i="19"/>
  <c r="G151" i="15"/>
  <c r="I152" i="15"/>
  <c r="J152" i="15" s="1"/>
  <c r="F152" i="15"/>
  <c r="G152" i="15" s="1"/>
  <c r="E104" i="13"/>
  <c r="F104" i="13" s="1"/>
  <c r="G104" i="13" s="1"/>
  <c r="J151" i="16"/>
  <c r="K151" i="16"/>
  <c r="D25" i="16"/>
  <c r="M198" i="19"/>
  <c r="D124" i="15"/>
  <c r="I153" i="15" s="1"/>
  <c r="C76" i="13"/>
  <c r="E105" i="13" s="1"/>
  <c r="L248" i="16"/>
  <c r="F250" i="16"/>
  <c r="L250" i="16" s="1"/>
  <c r="F198" i="19"/>
  <c r="J198" i="19" s="1"/>
  <c r="J169" i="19" s="1"/>
  <c r="E169" i="19"/>
  <c r="L197" i="19"/>
  <c r="H199" i="19"/>
  <c r="E199" i="19"/>
  <c r="C171" i="19"/>
  <c r="G200" i="19" s="1"/>
  <c r="D170" i="19"/>
  <c r="C198" i="19"/>
  <c r="J64" i="17"/>
  <c r="I64" i="17"/>
  <c r="G64" i="17"/>
  <c r="K64" i="17"/>
  <c r="N64" i="17"/>
  <c r="L64" i="17"/>
  <c r="F64" i="17"/>
  <c r="Q64" i="17"/>
  <c r="P64" i="17"/>
  <c r="H64" i="17"/>
  <c r="O64" i="17"/>
  <c r="M76" i="17"/>
  <c r="K76" i="17"/>
  <c r="L76" i="17"/>
  <c r="P75" i="17"/>
  <c r="N76" i="17"/>
  <c r="I76" i="17"/>
  <c r="J76" i="17"/>
  <c r="P76" i="17"/>
  <c r="Q76" i="17"/>
  <c r="G76" i="17"/>
  <c r="F76" i="17"/>
  <c r="H76" i="17"/>
  <c r="K75" i="17"/>
  <c r="F75" i="17"/>
  <c r="J75" i="17"/>
  <c r="N75" i="17"/>
  <c r="G75" i="17"/>
  <c r="Q75" i="17"/>
  <c r="M75" i="17"/>
  <c r="H75" i="17"/>
  <c r="I75" i="17"/>
  <c r="O75" i="17"/>
  <c r="E50" i="17"/>
  <c r="N44" i="17"/>
  <c r="J44" i="17"/>
  <c r="F44" i="17"/>
  <c r="G44" i="17"/>
  <c r="Q44" i="17"/>
  <c r="M44" i="17"/>
  <c r="I44" i="17"/>
  <c r="O44" i="17"/>
  <c r="K44" i="17"/>
  <c r="P44" i="17"/>
  <c r="H44" i="17"/>
  <c r="L44" i="17"/>
  <c r="P56" i="17"/>
  <c r="L56" i="17"/>
  <c r="H56" i="17"/>
  <c r="Q56" i="17"/>
  <c r="I56" i="17"/>
  <c r="E62" i="17"/>
  <c r="O56" i="17"/>
  <c r="K56" i="17"/>
  <c r="G56" i="17"/>
  <c r="M56" i="17"/>
  <c r="F56" i="17"/>
  <c r="J56" i="17"/>
  <c r="N56" i="17"/>
  <c r="Q55" i="17"/>
  <c r="M55" i="17"/>
  <c r="I55" i="17"/>
  <c r="N55" i="17"/>
  <c r="F55" i="17"/>
  <c r="P55" i="17"/>
  <c r="L55" i="17"/>
  <c r="H55" i="17"/>
  <c r="E61" i="17"/>
  <c r="J55" i="17"/>
  <c r="O55" i="17"/>
  <c r="G55" i="17"/>
  <c r="K55" i="17"/>
  <c r="E74" i="17"/>
  <c r="N68" i="17"/>
  <c r="J68" i="17"/>
  <c r="F68" i="17"/>
  <c r="O68" i="17"/>
  <c r="G68" i="17"/>
  <c r="L68" i="17"/>
  <c r="Q68" i="17"/>
  <c r="M68" i="17"/>
  <c r="I68" i="17"/>
  <c r="K68" i="17"/>
  <c r="P68" i="17"/>
  <c r="H68" i="17"/>
  <c r="O43" i="17"/>
  <c r="K43" i="17"/>
  <c r="G43" i="17"/>
  <c r="H43" i="17"/>
  <c r="E49" i="17"/>
  <c r="N43" i="17"/>
  <c r="J43" i="17"/>
  <c r="F43" i="17"/>
  <c r="P43" i="17"/>
  <c r="L43" i="17"/>
  <c r="M43" i="17"/>
  <c r="Q43" i="17"/>
  <c r="I43" i="17"/>
  <c r="O67" i="17"/>
  <c r="K67" i="17"/>
  <c r="G67" i="17"/>
  <c r="L67" i="17"/>
  <c r="Q67" i="17"/>
  <c r="I67" i="17"/>
  <c r="E73" i="17"/>
  <c r="N67" i="17"/>
  <c r="J67" i="17"/>
  <c r="F67" i="17"/>
  <c r="P67" i="17"/>
  <c r="H67" i="17"/>
  <c r="M67" i="17"/>
  <c r="A41" i="16"/>
  <c r="C252" i="16"/>
  <c r="E251" i="16"/>
  <c r="D251" i="16"/>
  <c r="F122" i="16"/>
  <c r="L122" i="16"/>
  <c r="E122" i="16" s="1"/>
  <c r="J250" i="16"/>
  <c r="M250" i="16" s="1"/>
  <c r="F123" i="16"/>
  <c r="L123" i="16"/>
  <c r="E123" i="16" s="1"/>
  <c r="F121" i="16"/>
  <c r="L121" i="16"/>
  <c r="E121" i="16" s="1"/>
  <c r="D125" i="15"/>
  <c r="C104" i="13"/>
  <c r="C77" i="13" l="1"/>
  <c r="E106" i="13" s="1"/>
  <c r="C126" i="15"/>
  <c r="H155" i="15" s="1"/>
  <c r="E154" i="15"/>
  <c r="F154" i="15" s="1"/>
  <c r="F153" i="15"/>
  <c r="G153" i="15" s="1"/>
  <c r="C199" i="19"/>
  <c r="G170" i="19"/>
  <c r="C153" i="15"/>
  <c r="D76" i="13"/>
  <c r="F105" i="13" s="1"/>
  <c r="G105" i="13" s="1"/>
  <c r="J153" i="15"/>
  <c r="C154" i="15"/>
  <c r="I154" i="15"/>
  <c r="F251" i="16"/>
  <c r="L251" i="16" s="1"/>
  <c r="K198" i="19"/>
  <c r="L198" i="19"/>
  <c r="F199" i="19"/>
  <c r="J199" i="19" s="1"/>
  <c r="J170" i="19" s="1"/>
  <c r="K199" i="19" s="1"/>
  <c r="E170" i="19"/>
  <c r="A42" i="16"/>
  <c r="G39" i="16" s="1"/>
  <c r="E128" i="16"/>
  <c r="E131" i="16"/>
  <c r="E125" i="16"/>
  <c r="E127" i="16"/>
  <c r="E124" i="16"/>
  <c r="E130" i="16"/>
  <c r="F129" i="16"/>
  <c r="F126" i="16"/>
  <c r="F132" i="16"/>
  <c r="E126" i="16"/>
  <c r="E132" i="16"/>
  <c r="E129" i="16"/>
  <c r="F128" i="16"/>
  <c r="F125" i="16"/>
  <c r="F131" i="16"/>
  <c r="F130" i="16"/>
  <c r="F127" i="16"/>
  <c r="F124" i="16"/>
  <c r="H200" i="19"/>
  <c r="C172" i="19"/>
  <c r="G201" i="19" s="1"/>
  <c r="H201" i="19" s="1"/>
  <c r="E200" i="19"/>
  <c r="D171" i="19"/>
  <c r="E81" i="17"/>
  <c r="N73" i="17"/>
  <c r="J73" i="17"/>
  <c r="F73" i="17"/>
  <c r="O73" i="17"/>
  <c r="G73" i="17"/>
  <c r="L73" i="17"/>
  <c r="Q73" i="17"/>
  <c r="M73" i="17"/>
  <c r="I73" i="17"/>
  <c r="K73" i="17"/>
  <c r="P73" i="17"/>
  <c r="H73" i="17"/>
  <c r="Q74" i="17"/>
  <c r="M74" i="17"/>
  <c r="I74" i="17"/>
  <c r="J74" i="17"/>
  <c r="O74" i="17"/>
  <c r="G74" i="17"/>
  <c r="P74" i="17"/>
  <c r="L74" i="17"/>
  <c r="H74" i="17"/>
  <c r="N74" i="17"/>
  <c r="F74" i="17"/>
  <c r="K74" i="17"/>
  <c r="N49" i="17"/>
  <c r="J49" i="17"/>
  <c r="F49" i="17"/>
  <c r="K49" i="17"/>
  <c r="Q49" i="17"/>
  <c r="M49" i="17"/>
  <c r="I49" i="17"/>
  <c r="O49" i="17"/>
  <c r="G49" i="17"/>
  <c r="P49" i="17"/>
  <c r="H49" i="17"/>
  <c r="L49" i="17"/>
  <c r="Q50" i="17"/>
  <c r="M50" i="17"/>
  <c r="I50" i="17"/>
  <c r="J50" i="17"/>
  <c r="P50" i="17"/>
  <c r="L50" i="17"/>
  <c r="H50" i="17"/>
  <c r="N50" i="17"/>
  <c r="F50" i="17"/>
  <c r="G50" i="17"/>
  <c r="K50" i="17"/>
  <c r="O50" i="17"/>
  <c r="P61" i="17"/>
  <c r="L61" i="17"/>
  <c r="H61" i="17"/>
  <c r="Q61" i="17"/>
  <c r="I61" i="17"/>
  <c r="J61" i="17"/>
  <c r="O61" i="17"/>
  <c r="K61" i="17"/>
  <c r="G61" i="17"/>
  <c r="M61" i="17"/>
  <c r="N61" i="17"/>
  <c r="F61" i="17"/>
  <c r="O62" i="17"/>
  <c r="K62" i="17"/>
  <c r="G62" i="17"/>
  <c r="P62" i="17"/>
  <c r="M62" i="17"/>
  <c r="N62" i="17"/>
  <c r="J62" i="17"/>
  <c r="F62" i="17"/>
  <c r="L62" i="17"/>
  <c r="H62" i="17"/>
  <c r="Q62" i="17"/>
  <c r="I62" i="17"/>
  <c r="G85" i="17"/>
  <c r="F81" i="17"/>
  <c r="H81" i="17"/>
  <c r="H83" i="17"/>
  <c r="G83" i="17"/>
  <c r="F83" i="17"/>
  <c r="H85" i="17"/>
  <c r="G81" i="17"/>
  <c r="E85" i="17"/>
  <c r="F85" i="17"/>
  <c r="E83" i="17"/>
  <c r="C253" i="16"/>
  <c r="E252" i="16"/>
  <c r="D252" i="16"/>
  <c r="J251" i="16"/>
  <c r="M251" i="16" s="1"/>
  <c r="D126" i="15"/>
  <c r="C127" i="15"/>
  <c r="H156" i="15" s="1"/>
  <c r="E155" i="15"/>
  <c r="D77" i="13"/>
  <c r="E67" i="8"/>
  <c r="H67" i="8" s="1"/>
  <c r="F67" i="8"/>
  <c r="D67" i="8"/>
  <c r="C78" i="13" l="1"/>
  <c r="E107" i="13" s="1"/>
  <c r="G154" i="15"/>
  <c r="M199" i="19"/>
  <c r="J33" i="19" s="1"/>
  <c r="C200" i="19"/>
  <c r="G171" i="19"/>
  <c r="M200" i="19" s="1"/>
  <c r="C105" i="13"/>
  <c r="C106" i="13"/>
  <c r="F106" i="13"/>
  <c r="I155" i="15"/>
  <c r="J155" i="15" s="1"/>
  <c r="F155" i="15"/>
  <c r="J154" i="15"/>
  <c r="A44" i="16"/>
  <c r="G44" i="16" s="1"/>
  <c r="F252" i="16"/>
  <c r="L252" i="16" s="1"/>
  <c r="F200" i="19"/>
  <c r="J200" i="19" s="1"/>
  <c r="J171" i="19" s="1"/>
  <c r="K200" i="19" s="1"/>
  <c r="E171" i="19"/>
  <c r="L200" i="19" s="1"/>
  <c r="L199" i="19"/>
  <c r="J32" i="19" s="1"/>
  <c r="E201" i="19"/>
  <c r="C173" i="19"/>
  <c r="G202" i="19" s="1"/>
  <c r="H202" i="19" s="1"/>
  <c r="D172" i="19"/>
  <c r="H86" i="17"/>
  <c r="E84" i="17"/>
  <c r="G82" i="17"/>
  <c r="H82" i="17"/>
  <c r="F84" i="17"/>
  <c r="F86" i="17"/>
  <c r="G84" i="17"/>
  <c r="G86" i="17"/>
  <c r="H84" i="17"/>
  <c r="F82" i="17"/>
  <c r="E82" i="17"/>
  <c r="E86" i="17"/>
  <c r="J252" i="16"/>
  <c r="M252" i="16" s="1"/>
  <c r="E253" i="16"/>
  <c r="C254" i="16"/>
  <c r="D253" i="16"/>
  <c r="J253" i="16" s="1"/>
  <c r="C155" i="15"/>
  <c r="C128" i="15"/>
  <c r="H157" i="15" s="1"/>
  <c r="E156" i="15"/>
  <c r="D127" i="15"/>
  <c r="C79" i="13"/>
  <c r="E114" i="2"/>
  <c r="D114" i="2"/>
  <c r="C114" i="2"/>
  <c r="D78" i="13" l="1"/>
  <c r="F107" i="13" s="1"/>
  <c r="F114" i="19"/>
  <c r="E115" i="19"/>
  <c r="F115" i="19"/>
  <c r="D114" i="19"/>
  <c r="D115" i="19"/>
  <c r="E114" i="19"/>
  <c r="C201" i="19"/>
  <c r="G172" i="19"/>
  <c r="M201" i="19" s="1"/>
  <c r="G106" i="13"/>
  <c r="C156" i="15"/>
  <c r="I156" i="15"/>
  <c r="F156" i="15"/>
  <c r="G156" i="15" s="1"/>
  <c r="G155" i="15"/>
  <c r="A45" i="16"/>
  <c r="A46" i="16" s="1"/>
  <c r="F253" i="16"/>
  <c r="L253" i="16" s="1"/>
  <c r="F201" i="19"/>
  <c r="J201" i="19" s="1"/>
  <c r="J172" i="19" s="1"/>
  <c r="K201" i="19" s="1"/>
  <c r="E172" i="19"/>
  <c r="L201" i="19" s="1"/>
  <c r="C174" i="19"/>
  <c r="G203" i="19" s="1"/>
  <c r="E202" i="19"/>
  <c r="D173" i="19"/>
  <c r="M82" i="17"/>
  <c r="R82" i="17" s="1"/>
  <c r="R88" i="17"/>
  <c r="F110" i="16" s="1"/>
  <c r="K82" i="17"/>
  <c r="P82" i="17" s="1"/>
  <c r="P88" i="17"/>
  <c r="K81" i="17"/>
  <c r="P81" i="17" s="1"/>
  <c r="P87" i="17"/>
  <c r="J82" i="17"/>
  <c r="O82" i="17" s="1"/>
  <c r="O88" i="17"/>
  <c r="D110" i="16" s="1"/>
  <c r="J81" i="17"/>
  <c r="O81" i="17" s="1"/>
  <c r="O87" i="17"/>
  <c r="D109" i="16" s="1"/>
  <c r="L82" i="17"/>
  <c r="Q82" i="17" s="1"/>
  <c r="Q88" i="17"/>
  <c r="E110" i="16" s="1"/>
  <c r="L81" i="17"/>
  <c r="Q81" i="17" s="1"/>
  <c r="Q87" i="17"/>
  <c r="E109" i="16" s="1"/>
  <c r="M83" i="17"/>
  <c r="R83" i="17" s="1"/>
  <c r="R89" i="17"/>
  <c r="F111" i="16" s="1"/>
  <c r="K83" i="17"/>
  <c r="P83" i="17" s="1"/>
  <c r="P89" i="17"/>
  <c r="J83" i="17"/>
  <c r="O83" i="17" s="1"/>
  <c r="O89" i="17"/>
  <c r="D111" i="16" s="1"/>
  <c r="L83" i="17"/>
  <c r="Q83" i="17" s="1"/>
  <c r="Q89" i="17"/>
  <c r="E111" i="16" s="1"/>
  <c r="M81" i="17"/>
  <c r="R81" i="17" s="1"/>
  <c r="R87" i="17"/>
  <c r="F109" i="16" s="1"/>
  <c r="D254" i="16"/>
  <c r="C255" i="16"/>
  <c r="E254" i="16"/>
  <c r="M253" i="16"/>
  <c r="E157" i="15"/>
  <c r="C129" i="15"/>
  <c r="H158" i="15" s="1"/>
  <c r="D128" i="15"/>
  <c r="E108" i="13"/>
  <c r="C80" i="13"/>
  <c r="D79" i="13"/>
  <c r="C107" i="13" l="1"/>
  <c r="C202" i="19"/>
  <c r="G173" i="19"/>
  <c r="M202" i="19" s="1"/>
  <c r="C108" i="13"/>
  <c r="F108" i="13"/>
  <c r="G107" i="13"/>
  <c r="F157" i="15"/>
  <c r="I157" i="15"/>
  <c r="J156" i="15"/>
  <c r="G45" i="16"/>
  <c r="F254" i="16"/>
  <c r="L254" i="16" s="1"/>
  <c r="F202" i="19"/>
  <c r="J202" i="19" s="1"/>
  <c r="J173" i="19" s="1"/>
  <c r="K202" i="19" s="1"/>
  <c r="E173" i="19"/>
  <c r="L202" i="19" s="1"/>
  <c r="H203" i="19"/>
  <c r="C175" i="19"/>
  <c r="G204" i="19" s="1"/>
  <c r="H204" i="19" s="1"/>
  <c r="E203" i="19"/>
  <c r="D174" i="19"/>
  <c r="S82" i="17"/>
  <c r="D118" i="16" s="1"/>
  <c r="S81" i="17"/>
  <c r="D117" i="16" s="1"/>
  <c r="S83" i="17"/>
  <c r="D119" i="16" s="1"/>
  <c r="G46" i="16"/>
  <c r="A47" i="16"/>
  <c r="A48" i="16" s="1"/>
  <c r="G48" i="16" s="1"/>
  <c r="C256" i="16"/>
  <c r="E255" i="16"/>
  <c r="D255" i="16"/>
  <c r="J255" i="16" s="1"/>
  <c r="J254" i="16"/>
  <c r="M254" i="16" s="1"/>
  <c r="C157" i="15"/>
  <c r="C130" i="15"/>
  <c r="H159" i="15" s="1"/>
  <c r="E158" i="15"/>
  <c r="D129" i="15"/>
  <c r="D80" i="13"/>
  <c r="C81" i="13"/>
  <c r="E109" i="13"/>
  <c r="C203" i="19" l="1"/>
  <c r="G174" i="19"/>
  <c r="M203" i="19" s="1"/>
  <c r="F109" i="13"/>
  <c r="G109" i="13" s="1"/>
  <c r="K20" i="13" s="1"/>
  <c r="G108" i="13"/>
  <c r="C158" i="15"/>
  <c r="F158" i="15"/>
  <c r="G158" i="15" s="1"/>
  <c r="K24" i="15" s="1"/>
  <c r="I158" i="15"/>
  <c r="J158" i="15" s="1"/>
  <c r="J157" i="15"/>
  <c r="G157" i="15"/>
  <c r="F255" i="16"/>
  <c r="L255" i="16" s="1"/>
  <c r="F203" i="19"/>
  <c r="J203" i="19" s="1"/>
  <c r="J174" i="19" s="1"/>
  <c r="K203" i="19" s="1"/>
  <c r="E174" i="19"/>
  <c r="L203" i="19" s="1"/>
  <c r="A49" i="16"/>
  <c r="G49" i="16" s="1"/>
  <c r="C176" i="19"/>
  <c r="G205" i="19" s="1"/>
  <c r="H205" i="19" s="1"/>
  <c r="E204" i="19"/>
  <c r="D175" i="19"/>
  <c r="M255" i="16"/>
  <c r="G47" i="16"/>
  <c r="C257" i="16"/>
  <c r="E256" i="16"/>
  <c r="D256" i="16"/>
  <c r="E159" i="15"/>
  <c r="D130" i="15"/>
  <c r="C131" i="15"/>
  <c r="H160" i="15" s="1"/>
  <c r="C109" i="13"/>
  <c r="C82" i="13"/>
  <c r="D81" i="13"/>
  <c r="E110" i="13"/>
  <c r="C204" i="19" l="1"/>
  <c r="G175" i="19"/>
  <c r="M204" i="19" s="1"/>
  <c r="C110" i="13"/>
  <c r="F110" i="13"/>
  <c r="G110" i="13" s="1"/>
  <c r="C159" i="15"/>
  <c r="I159" i="15"/>
  <c r="J159" i="15" s="1"/>
  <c r="F159" i="15"/>
  <c r="G159" i="15" s="1"/>
  <c r="F256" i="16"/>
  <c r="L256" i="16" s="1"/>
  <c r="F204" i="19"/>
  <c r="J204" i="19" s="1"/>
  <c r="J175" i="19" s="1"/>
  <c r="K204" i="19" s="1"/>
  <c r="E175" i="19"/>
  <c r="L204" i="19" s="1"/>
  <c r="A50" i="16"/>
  <c r="G50" i="16" s="1"/>
  <c r="E205" i="19"/>
  <c r="C177" i="19"/>
  <c r="G206" i="19" s="1"/>
  <c r="H206" i="19" s="1"/>
  <c r="D176" i="19"/>
  <c r="J256" i="16"/>
  <c r="M256" i="16" s="1"/>
  <c r="E257" i="16"/>
  <c r="C258" i="16"/>
  <c r="D257" i="16"/>
  <c r="J257" i="16" s="1"/>
  <c r="E160" i="15"/>
  <c r="C132" i="15"/>
  <c r="H161" i="15" s="1"/>
  <c r="D131" i="15"/>
  <c r="C83" i="13"/>
  <c r="E111" i="13"/>
  <c r="D82" i="13"/>
  <c r="C205" i="19" l="1"/>
  <c r="G176" i="19"/>
  <c r="M205" i="19" s="1"/>
  <c r="C111" i="13"/>
  <c r="F111" i="13"/>
  <c r="G111" i="13" s="1"/>
  <c r="C160" i="15"/>
  <c r="F160" i="15"/>
  <c r="G160" i="15" s="1"/>
  <c r="I160" i="15"/>
  <c r="J160" i="15" s="1"/>
  <c r="F257" i="16"/>
  <c r="L257" i="16" s="1"/>
  <c r="F205" i="19"/>
  <c r="J205" i="19" s="1"/>
  <c r="J176" i="19" s="1"/>
  <c r="K205" i="19" s="1"/>
  <c r="E176" i="19"/>
  <c r="L205" i="19" s="1"/>
  <c r="A51" i="16"/>
  <c r="G51" i="16" s="1"/>
  <c r="E206" i="19"/>
  <c r="C178" i="19"/>
  <c r="G207" i="19" s="1"/>
  <c r="D177" i="19"/>
  <c r="E258" i="16"/>
  <c r="C259" i="16"/>
  <c r="D258" i="16"/>
  <c r="J258" i="16" s="1"/>
  <c r="M257" i="16"/>
  <c r="E161" i="15"/>
  <c r="C133" i="15"/>
  <c r="H162" i="15" s="1"/>
  <c r="D132" i="15"/>
  <c r="E112" i="13"/>
  <c r="C84" i="13"/>
  <c r="D83" i="13"/>
  <c r="C206" i="19" l="1"/>
  <c r="G177" i="19"/>
  <c r="M206" i="19" s="1"/>
  <c r="C112" i="13"/>
  <c r="F112" i="13"/>
  <c r="G112" i="13" s="1"/>
  <c r="A52" i="16"/>
  <c r="G52" i="16" s="1"/>
  <c r="C161" i="15"/>
  <c r="I161" i="15"/>
  <c r="J161" i="15" s="1"/>
  <c r="F161" i="15"/>
  <c r="G161" i="15" s="1"/>
  <c r="F258" i="16"/>
  <c r="L258" i="16" s="1"/>
  <c r="F206" i="19"/>
  <c r="J206" i="19" s="1"/>
  <c r="J177" i="19" s="1"/>
  <c r="K206" i="19" s="1"/>
  <c r="E177" i="19"/>
  <c r="L206" i="19" s="1"/>
  <c r="M258" i="16"/>
  <c r="H207" i="19"/>
  <c r="E207" i="19"/>
  <c r="C179" i="19"/>
  <c r="G208" i="19" s="1"/>
  <c r="D178" i="19"/>
  <c r="E259" i="16"/>
  <c r="C260" i="16"/>
  <c r="D259" i="16"/>
  <c r="J259" i="16" s="1"/>
  <c r="E162" i="15"/>
  <c r="C134" i="15"/>
  <c r="H163" i="15" s="1"/>
  <c r="D133" i="15"/>
  <c r="C85" i="13"/>
  <c r="E113" i="13"/>
  <c r="D84" i="13"/>
  <c r="E118" i="6"/>
  <c r="D118" i="6"/>
  <c r="E117" i="6"/>
  <c r="D117" i="6"/>
  <c r="E116" i="6"/>
  <c r="D116" i="6"/>
  <c r="C207" i="19" l="1"/>
  <c r="G178" i="19"/>
  <c r="M207" i="19" s="1"/>
  <c r="C113" i="13"/>
  <c r="F113" i="13"/>
  <c r="G113" i="13" s="1"/>
  <c r="A53" i="16"/>
  <c r="A54" i="16" s="1"/>
  <c r="C162" i="15"/>
  <c r="F162" i="15"/>
  <c r="G162" i="15" s="1"/>
  <c r="I162" i="15"/>
  <c r="J162" i="15" s="1"/>
  <c r="F259" i="16"/>
  <c r="L259" i="16" s="1"/>
  <c r="F207" i="19"/>
  <c r="J207" i="19" s="1"/>
  <c r="J178" i="19" s="1"/>
  <c r="K207" i="19" s="1"/>
  <c r="E178" i="19"/>
  <c r="L207" i="19" s="1"/>
  <c r="H208" i="19"/>
  <c r="C180" i="19"/>
  <c r="G209" i="19" s="1"/>
  <c r="H209" i="19" s="1"/>
  <c r="E208" i="19"/>
  <c r="D179" i="19"/>
  <c r="C261" i="16"/>
  <c r="E260" i="16"/>
  <c r="D260" i="16"/>
  <c r="J260" i="16" s="1"/>
  <c r="M259" i="16"/>
  <c r="E163" i="15"/>
  <c r="C135" i="15"/>
  <c r="H164" i="15" s="1"/>
  <c r="D134" i="15"/>
  <c r="C86" i="13"/>
  <c r="D85" i="13"/>
  <c r="E114" i="13"/>
  <c r="F117" i="6"/>
  <c r="D120" i="6" s="1"/>
  <c r="F116" i="6"/>
  <c r="D119" i="6" s="1"/>
  <c r="F118" i="6"/>
  <c r="D121" i="6" s="1"/>
  <c r="C208" i="19" l="1"/>
  <c r="J30" i="19" s="1"/>
  <c r="G179" i="19"/>
  <c r="M208" i="19" s="1"/>
  <c r="C114" i="13"/>
  <c r="F114" i="13"/>
  <c r="G114" i="13" s="1"/>
  <c r="C163" i="15"/>
  <c r="I163" i="15"/>
  <c r="J163" i="15" s="1"/>
  <c r="F163" i="15"/>
  <c r="G163" i="15" s="1"/>
  <c r="F260" i="16"/>
  <c r="L260" i="16" s="1"/>
  <c r="F208" i="19"/>
  <c r="J208" i="19" s="1"/>
  <c r="J179" i="19" s="1"/>
  <c r="K208" i="19" s="1"/>
  <c r="E179" i="19"/>
  <c r="L208" i="19" s="1"/>
  <c r="A55" i="16"/>
  <c r="E209" i="19"/>
  <c r="C181" i="19"/>
  <c r="G210" i="19" s="1"/>
  <c r="H210" i="19" s="1"/>
  <c r="D180" i="19"/>
  <c r="E119" i="6"/>
  <c r="F119" i="6"/>
  <c r="F121" i="6"/>
  <c r="E121" i="6"/>
  <c r="F120" i="6"/>
  <c r="E120" i="6"/>
  <c r="M260" i="16"/>
  <c r="C262" i="16"/>
  <c r="E261" i="16"/>
  <c r="D261" i="16"/>
  <c r="J261" i="16" s="1"/>
  <c r="E164" i="15"/>
  <c r="C136" i="15"/>
  <c r="H165" i="15" s="1"/>
  <c r="D135" i="15"/>
  <c r="E115" i="13"/>
  <c r="C87" i="13"/>
  <c r="D86" i="13"/>
  <c r="C209" i="19" l="1"/>
  <c r="G180" i="19"/>
  <c r="M209" i="19" s="1"/>
  <c r="E105" i="19"/>
  <c r="E12" i="19" s="1"/>
  <c r="D105" i="19"/>
  <c r="D12" i="19" s="1"/>
  <c r="F105" i="19"/>
  <c r="F12" i="19" s="1"/>
  <c r="C115" i="13"/>
  <c r="F115" i="13"/>
  <c r="G115" i="13" s="1"/>
  <c r="C164" i="15"/>
  <c r="I164" i="15"/>
  <c r="J164" i="15" s="1"/>
  <c r="F164" i="15"/>
  <c r="G164" i="15" s="1"/>
  <c r="F261" i="16"/>
  <c r="L261" i="16" s="1"/>
  <c r="F209" i="19"/>
  <c r="J209" i="19" s="1"/>
  <c r="J180" i="19" s="1"/>
  <c r="K209" i="19" s="1"/>
  <c r="E180" i="19"/>
  <c r="L209" i="19" s="1"/>
  <c r="A57" i="16"/>
  <c r="G53" i="16"/>
  <c r="D15" i="19"/>
  <c r="E15" i="19"/>
  <c r="F15" i="19"/>
  <c r="E210" i="19"/>
  <c r="C182" i="19"/>
  <c r="G211" i="19" s="1"/>
  <c r="D181" i="19"/>
  <c r="M261" i="16"/>
  <c r="E262" i="16"/>
  <c r="C263" i="16"/>
  <c r="D262" i="16"/>
  <c r="J262" i="16" s="1"/>
  <c r="E165" i="15"/>
  <c r="C137" i="15"/>
  <c r="H166" i="15" s="1"/>
  <c r="D136" i="15"/>
  <c r="E116" i="13"/>
  <c r="C88" i="13"/>
  <c r="D87" i="13"/>
  <c r="C210" i="19" l="1"/>
  <c r="G181" i="19"/>
  <c r="M210" i="19" s="1"/>
  <c r="C116" i="13"/>
  <c r="F116" i="13"/>
  <c r="G116" i="13" s="1"/>
  <c r="C165" i="15"/>
  <c r="F165" i="15"/>
  <c r="G165" i="15" s="1"/>
  <c r="I165" i="15"/>
  <c r="J165" i="15" s="1"/>
  <c r="F262" i="16"/>
  <c r="L262" i="16" s="1"/>
  <c r="F210" i="19"/>
  <c r="J210" i="19" s="1"/>
  <c r="J181" i="19" s="1"/>
  <c r="K210" i="19" s="1"/>
  <c r="E181" i="19"/>
  <c r="L210" i="19" s="1"/>
  <c r="G57" i="16"/>
  <c r="A58" i="16"/>
  <c r="F14" i="19"/>
  <c r="D14" i="19"/>
  <c r="E14" i="19"/>
  <c r="H211" i="19"/>
  <c r="C183" i="19"/>
  <c r="G212" i="19" s="1"/>
  <c r="H212" i="19" s="1"/>
  <c r="E211" i="19"/>
  <c r="D182" i="19"/>
  <c r="M262" i="16"/>
  <c r="D263" i="16"/>
  <c r="J263" i="16" s="1"/>
  <c r="C264" i="16"/>
  <c r="E263" i="16"/>
  <c r="E166" i="15"/>
  <c r="C138" i="15"/>
  <c r="H167" i="15" s="1"/>
  <c r="D137" i="15"/>
  <c r="D88" i="13"/>
  <c r="C89" i="13"/>
  <c r="E117" i="13"/>
  <c r="M89" i="9"/>
  <c r="L89" i="9"/>
  <c r="J89" i="9"/>
  <c r="I89" i="9"/>
  <c r="M88" i="9"/>
  <c r="L88" i="9"/>
  <c r="J88" i="9"/>
  <c r="I88" i="9"/>
  <c r="M87" i="9"/>
  <c r="L87" i="9"/>
  <c r="I87" i="9"/>
  <c r="J87" i="9"/>
  <c r="B95" i="9"/>
  <c r="I97" i="9" s="1"/>
  <c r="B104" i="9"/>
  <c r="D104" i="9" s="1"/>
  <c r="A36" i="9"/>
  <c r="A29" i="9"/>
  <c r="A22" i="9"/>
  <c r="A16" i="9"/>
  <c r="A8" i="9"/>
  <c r="B110" i="9"/>
  <c r="D110" i="9" s="1"/>
  <c r="B109" i="9"/>
  <c r="D109" i="9" s="1"/>
  <c r="B108" i="9"/>
  <c r="D108" i="9" s="1"/>
  <c r="B107" i="9"/>
  <c r="D107" i="9" s="1"/>
  <c r="B103" i="9"/>
  <c r="D103" i="9" s="1"/>
  <c r="B102" i="9"/>
  <c r="D102" i="9" s="1"/>
  <c r="B99" i="9"/>
  <c r="D99" i="9" s="1"/>
  <c r="B97" i="9"/>
  <c r="B96" i="9"/>
  <c r="D96" i="9" s="1"/>
  <c r="C123" i="9"/>
  <c r="F123" i="9" s="1"/>
  <c r="B123" i="9"/>
  <c r="E123" i="9" s="1"/>
  <c r="C121" i="9"/>
  <c r="F121" i="9" s="1"/>
  <c r="G72" i="9" s="1"/>
  <c r="J72" i="9" s="1"/>
  <c r="M72" i="9" s="1"/>
  <c r="P72" i="9" s="1"/>
  <c r="B121" i="9"/>
  <c r="E121" i="9" s="1"/>
  <c r="G66" i="9" s="1"/>
  <c r="J66" i="9" s="1"/>
  <c r="M66" i="9" s="1"/>
  <c r="P66" i="9" s="1"/>
  <c r="C120" i="9"/>
  <c r="F120" i="9" s="1"/>
  <c r="F72" i="9" s="1"/>
  <c r="I72" i="9" s="1"/>
  <c r="L72" i="9" s="1"/>
  <c r="O72" i="9" s="1"/>
  <c r="B120" i="9"/>
  <c r="E120" i="9" s="1"/>
  <c r="F66" i="9" s="1"/>
  <c r="I66" i="9" s="1"/>
  <c r="L66" i="9" s="1"/>
  <c r="O66" i="9" s="1"/>
  <c r="C119" i="9"/>
  <c r="F119" i="9" s="1"/>
  <c r="B119" i="9"/>
  <c r="E119" i="9" s="1"/>
  <c r="C117" i="9"/>
  <c r="F117" i="9" s="1"/>
  <c r="G60" i="9" s="1"/>
  <c r="J60" i="9" s="1"/>
  <c r="M60" i="9" s="1"/>
  <c r="P60" i="9" s="1"/>
  <c r="B117" i="9"/>
  <c r="E117" i="9" s="1"/>
  <c r="G54" i="9" s="1"/>
  <c r="J54" i="9" s="1"/>
  <c r="M54" i="9" s="1"/>
  <c r="P54" i="9" s="1"/>
  <c r="C116" i="9"/>
  <c r="F116" i="9" s="1"/>
  <c r="F60" i="9" s="1"/>
  <c r="I60" i="9" s="1"/>
  <c r="L60" i="9" s="1"/>
  <c r="O60" i="9" s="1"/>
  <c r="B116" i="9"/>
  <c r="E116" i="9" s="1"/>
  <c r="F54" i="9" s="1"/>
  <c r="I54" i="9" s="1"/>
  <c r="L54" i="9" s="1"/>
  <c r="O54" i="9" s="1"/>
  <c r="C115" i="9"/>
  <c r="F115" i="9" s="1"/>
  <c r="B115" i="9"/>
  <c r="E115" i="9" s="1"/>
  <c r="C113" i="9"/>
  <c r="F113" i="9" s="1"/>
  <c r="G48" i="9" s="1"/>
  <c r="J48" i="9" s="1"/>
  <c r="M48" i="9" s="1"/>
  <c r="P48" i="9" s="1"/>
  <c r="B113" i="9"/>
  <c r="E113" i="9" s="1"/>
  <c r="G42" i="9" s="1"/>
  <c r="J42" i="9" s="1"/>
  <c r="M42" i="9" s="1"/>
  <c r="P42" i="9" s="1"/>
  <c r="C112" i="9"/>
  <c r="F112" i="9" s="1"/>
  <c r="F48" i="9" s="1"/>
  <c r="I48" i="9" s="1"/>
  <c r="L48" i="9" s="1"/>
  <c r="O48" i="9" s="1"/>
  <c r="B112" i="9"/>
  <c r="E112" i="9" s="1"/>
  <c r="F42" i="9" s="1"/>
  <c r="I42" i="9" s="1"/>
  <c r="L42" i="9" s="1"/>
  <c r="O42" i="9" s="1"/>
  <c r="B34" i="9"/>
  <c r="B27" i="9"/>
  <c r="B20" i="9"/>
  <c r="B13" i="9"/>
  <c r="B6" i="9"/>
  <c r="C211" i="19" l="1"/>
  <c r="G182" i="19"/>
  <c r="M211" i="19" s="1"/>
  <c r="C117" i="13"/>
  <c r="F117" i="13"/>
  <c r="G117" i="13" s="1"/>
  <c r="C166" i="15"/>
  <c r="F166" i="15"/>
  <c r="G166" i="15" s="1"/>
  <c r="I166" i="15"/>
  <c r="J166" i="15" s="1"/>
  <c r="F263" i="16"/>
  <c r="L263" i="16" s="1"/>
  <c r="F211" i="19"/>
  <c r="J211" i="19" s="1"/>
  <c r="J182" i="19" s="1"/>
  <c r="K211" i="19" s="1"/>
  <c r="E182" i="19"/>
  <c r="L211" i="19" s="1"/>
  <c r="A59" i="16"/>
  <c r="A60" i="16" s="1"/>
  <c r="M263" i="16"/>
  <c r="M97" i="9"/>
  <c r="J97" i="9"/>
  <c r="L97" i="9"/>
  <c r="C184" i="19"/>
  <c r="G213" i="19" s="1"/>
  <c r="H213" i="19" s="1"/>
  <c r="E212" i="19"/>
  <c r="D183" i="19"/>
  <c r="C265" i="16"/>
  <c r="E264" i="16"/>
  <c r="D264" i="16"/>
  <c r="J264" i="16" s="1"/>
  <c r="E167" i="15"/>
  <c r="C139" i="15"/>
  <c r="H168" i="15" s="1"/>
  <c r="D138" i="15"/>
  <c r="C90" i="13"/>
  <c r="D89" i="13"/>
  <c r="E118" i="13"/>
  <c r="E71" i="9"/>
  <c r="F71" i="9" s="1"/>
  <c r="E59" i="9"/>
  <c r="E47" i="9"/>
  <c r="F47" i="9" s="1"/>
  <c r="D106" i="9"/>
  <c r="E46" i="9" s="1"/>
  <c r="F46" i="9" s="1"/>
  <c r="D105" i="9"/>
  <c r="E69" i="9" s="1"/>
  <c r="D98" i="9"/>
  <c r="D100" i="9" s="1"/>
  <c r="E55" i="9" s="1"/>
  <c r="C212" i="19" l="1"/>
  <c r="G183" i="19"/>
  <c r="M212" i="19" s="1"/>
  <c r="C118" i="13"/>
  <c r="F118" i="13"/>
  <c r="G118" i="13" s="1"/>
  <c r="C167" i="15"/>
  <c r="I167" i="15"/>
  <c r="J167" i="15" s="1"/>
  <c r="F167" i="15"/>
  <c r="G167" i="15" s="1"/>
  <c r="F264" i="16"/>
  <c r="L264" i="16" s="1"/>
  <c r="F212" i="19"/>
  <c r="J212" i="19" s="1"/>
  <c r="J183" i="19" s="1"/>
  <c r="K212" i="19" s="1"/>
  <c r="E183" i="19"/>
  <c r="L212" i="19" s="1"/>
  <c r="G58" i="16"/>
  <c r="A62" i="16"/>
  <c r="G62" i="16" s="1"/>
  <c r="E213" i="19"/>
  <c r="C185" i="19"/>
  <c r="G214" i="19" s="1"/>
  <c r="H214" i="19" s="1"/>
  <c r="D184" i="19"/>
  <c r="E265" i="16"/>
  <c r="C266" i="16"/>
  <c r="D265" i="16"/>
  <c r="J265" i="16" s="1"/>
  <c r="M264" i="16"/>
  <c r="E168" i="15"/>
  <c r="C140" i="15"/>
  <c r="H169" i="15" s="1"/>
  <c r="D139" i="15"/>
  <c r="E119" i="13"/>
  <c r="C91" i="13"/>
  <c r="D90" i="13"/>
  <c r="M71" i="9"/>
  <c r="O71" i="9"/>
  <c r="P71" i="9"/>
  <c r="L71" i="9"/>
  <c r="E70" i="9"/>
  <c r="P70" i="9" s="1"/>
  <c r="G71" i="9"/>
  <c r="J71" i="9"/>
  <c r="I71" i="9"/>
  <c r="E77" i="9"/>
  <c r="J77" i="9" s="1"/>
  <c r="J69" i="9"/>
  <c r="F69" i="9"/>
  <c r="O69" i="9"/>
  <c r="G69" i="9"/>
  <c r="E75" i="9"/>
  <c r="P69" i="9"/>
  <c r="L69" i="9"/>
  <c r="M69" i="9"/>
  <c r="I69" i="9"/>
  <c r="J55" i="9"/>
  <c r="F55" i="9"/>
  <c r="O55" i="9"/>
  <c r="G55" i="9"/>
  <c r="M55" i="9"/>
  <c r="E61" i="9"/>
  <c r="P55" i="9"/>
  <c r="L55" i="9"/>
  <c r="I55" i="9"/>
  <c r="J59" i="9"/>
  <c r="F59" i="9"/>
  <c r="O59" i="9"/>
  <c r="G59" i="9"/>
  <c r="M59" i="9"/>
  <c r="I59" i="9"/>
  <c r="E65" i="9"/>
  <c r="P59" i="9"/>
  <c r="L59" i="9"/>
  <c r="E57" i="9"/>
  <c r="E67" i="9"/>
  <c r="E43" i="9"/>
  <c r="F43" i="9" s="1"/>
  <c r="E58" i="9"/>
  <c r="E45" i="9"/>
  <c r="L45" i="9" s="1"/>
  <c r="E52" i="9"/>
  <c r="F52" i="9" s="1"/>
  <c r="J46" i="9"/>
  <c r="M46" i="9"/>
  <c r="I46" i="9"/>
  <c r="G46" i="9"/>
  <c r="O46" i="9"/>
  <c r="P46" i="9"/>
  <c r="L46" i="9"/>
  <c r="E53" i="9"/>
  <c r="F53" i="9" s="1"/>
  <c r="M47" i="9"/>
  <c r="I47" i="9"/>
  <c r="P47" i="9"/>
  <c r="L47" i="9"/>
  <c r="J47" i="9"/>
  <c r="O47" i="9"/>
  <c r="G47" i="9"/>
  <c r="D101" i="9"/>
  <c r="C213" i="19" l="1"/>
  <c r="G184" i="19"/>
  <c r="M213" i="19" s="1"/>
  <c r="C119" i="13"/>
  <c r="F119" i="13"/>
  <c r="G119" i="13" s="1"/>
  <c r="C168" i="15"/>
  <c r="F168" i="15"/>
  <c r="G168" i="15" s="1"/>
  <c r="I168" i="15"/>
  <c r="J168" i="15" s="1"/>
  <c r="F265" i="16"/>
  <c r="L265" i="16" s="1"/>
  <c r="F213" i="19"/>
  <c r="J213" i="19" s="1"/>
  <c r="J184" i="19" s="1"/>
  <c r="K213" i="19" s="1"/>
  <c r="E184" i="19"/>
  <c r="L213" i="19" s="1"/>
  <c r="A69" i="16"/>
  <c r="A70" i="16" s="1"/>
  <c r="A71" i="16" s="1"/>
  <c r="A72" i="16" s="1"/>
  <c r="A73" i="16" s="1"/>
  <c r="A74" i="16" s="1"/>
  <c r="A75" i="16" s="1"/>
  <c r="A76" i="16" s="1"/>
  <c r="A77" i="16" s="1"/>
  <c r="A78" i="16" s="1"/>
  <c r="A79" i="16" s="1"/>
  <c r="A80" i="16" s="1"/>
  <c r="A96" i="16" s="1"/>
  <c r="E214" i="19"/>
  <c r="D185" i="19"/>
  <c r="E266" i="16"/>
  <c r="C267" i="16"/>
  <c r="D266" i="16"/>
  <c r="J266" i="16" s="1"/>
  <c r="M265" i="16"/>
  <c r="E169" i="15"/>
  <c r="C141" i="15"/>
  <c r="H170" i="15" s="1"/>
  <c r="D140" i="15"/>
  <c r="C92" i="13"/>
  <c r="E120" i="13"/>
  <c r="D91" i="13"/>
  <c r="I45" i="9"/>
  <c r="F70" i="9"/>
  <c r="O45" i="9"/>
  <c r="E76" i="9"/>
  <c r="F76" i="9" s="1"/>
  <c r="L77" i="9"/>
  <c r="M45" i="9"/>
  <c r="M70" i="9"/>
  <c r="G70" i="9"/>
  <c r="J70" i="9"/>
  <c r="M77" i="9"/>
  <c r="F77" i="9"/>
  <c r="O43" i="9"/>
  <c r="I77" i="9"/>
  <c r="O77" i="9"/>
  <c r="P77" i="9"/>
  <c r="I70" i="9"/>
  <c r="L70" i="9"/>
  <c r="O70" i="9"/>
  <c r="L43" i="9"/>
  <c r="J43" i="9"/>
  <c r="I43" i="9"/>
  <c r="G77" i="9"/>
  <c r="J67" i="9"/>
  <c r="F67" i="9"/>
  <c r="O67" i="9"/>
  <c r="G67" i="9"/>
  <c r="E73" i="9"/>
  <c r="I67" i="9"/>
  <c r="P67" i="9"/>
  <c r="L67" i="9"/>
  <c r="M67" i="9"/>
  <c r="J75" i="9"/>
  <c r="F75" i="9"/>
  <c r="O75" i="9"/>
  <c r="G75" i="9"/>
  <c r="P75" i="9"/>
  <c r="L75" i="9"/>
  <c r="M75" i="9"/>
  <c r="I75" i="9"/>
  <c r="E56" i="9"/>
  <c r="E68" i="9"/>
  <c r="E44" i="9"/>
  <c r="F44" i="9" s="1"/>
  <c r="P58" i="9"/>
  <c r="L58" i="9"/>
  <c r="G58" i="9"/>
  <c r="M58" i="9"/>
  <c r="I58" i="9"/>
  <c r="J58" i="9"/>
  <c r="E64" i="9"/>
  <c r="O58" i="9"/>
  <c r="F58" i="9"/>
  <c r="J65" i="9"/>
  <c r="F65" i="9"/>
  <c r="O65" i="9"/>
  <c r="G65" i="9"/>
  <c r="I65" i="9"/>
  <c r="P65" i="9"/>
  <c r="L65" i="9"/>
  <c r="M65" i="9"/>
  <c r="P45" i="9"/>
  <c r="F45" i="9"/>
  <c r="J57" i="9"/>
  <c r="O57" i="9"/>
  <c r="E63" i="9"/>
  <c r="G57" i="9"/>
  <c r="P57" i="9"/>
  <c r="L57" i="9"/>
  <c r="F57" i="9"/>
  <c r="M57" i="9"/>
  <c r="I57" i="9"/>
  <c r="J61" i="9"/>
  <c r="F61" i="9"/>
  <c r="O61" i="9"/>
  <c r="G61" i="9"/>
  <c r="I61" i="9"/>
  <c r="P61" i="9"/>
  <c r="L61" i="9"/>
  <c r="M61" i="9"/>
  <c r="G43" i="9"/>
  <c r="E49" i="9"/>
  <c r="F49" i="9" s="1"/>
  <c r="M43" i="9"/>
  <c r="P43" i="9"/>
  <c r="J45" i="9"/>
  <c r="E51" i="9"/>
  <c r="P51" i="9" s="1"/>
  <c r="G45" i="9"/>
  <c r="M52" i="9"/>
  <c r="I52" i="9"/>
  <c r="P52" i="9"/>
  <c r="L52" i="9"/>
  <c r="J52" i="9"/>
  <c r="O52" i="9"/>
  <c r="G52" i="9"/>
  <c r="J53" i="9"/>
  <c r="P53" i="9"/>
  <c r="M53" i="9"/>
  <c r="I53" i="9"/>
  <c r="O53" i="9"/>
  <c r="G53" i="9"/>
  <c r="L53" i="9"/>
  <c r="C214" i="19" l="1"/>
  <c r="G185" i="19"/>
  <c r="M214" i="19" s="1"/>
  <c r="C120" i="13"/>
  <c r="F120" i="13"/>
  <c r="G120" i="13" s="1"/>
  <c r="C169" i="15"/>
  <c r="F169" i="15"/>
  <c r="G169" i="15" s="1"/>
  <c r="I169" i="15"/>
  <c r="J169" i="15" s="1"/>
  <c r="F266" i="16"/>
  <c r="L266" i="16" s="1"/>
  <c r="F214" i="19"/>
  <c r="J214" i="19" s="1"/>
  <c r="J185" i="19" s="1"/>
  <c r="K214" i="19" s="1"/>
  <c r="E185" i="19"/>
  <c r="L214" i="19" s="1"/>
  <c r="A97" i="16"/>
  <c r="A98" i="16" s="1"/>
  <c r="A104" i="16" s="1"/>
  <c r="G69" i="16"/>
  <c r="E267" i="16"/>
  <c r="C268" i="16"/>
  <c r="D267" i="16"/>
  <c r="J267" i="16" s="1"/>
  <c r="M266" i="16"/>
  <c r="E170" i="15"/>
  <c r="C142" i="15"/>
  <c r="H171" i="15" s="1"/>
  <c r="D141" i="15"/>
  <c r="E121" i="13"/>
  <c r="C93" i="13"/>
  <c r="D92" i="13"/>
  <c r="I44" i="9"/>
  <c r="G51" i="9"/>
  <c r="G76" i="9"/>
  <c r="M76" i="9"/>
  <c r="P76" i="9"/>
  <c r="O44" i="9"/>
  <c r="I76" i="9"/>
  <c r="L76" i="9"/>
  <c r="O76" i="9"/>
  <c r="J76" i="9"/>
  <c r="G49" i="9"/>
  <c r="J44" i="9"/>
  <c r="G44" i="9"/>
  <c r="L44" i="9"/>
  <c r="P44" i="9"/>
  <c r="M44" i="9"/>
  <c r="J51" i="9"/>
  <c r="P56" i="9"/>
  <c r="L56" i="9"/>
  <c r="E62" i="9"/>
  <c r="M56" i="9"/>
  <c r="I56" i="9"/>
  <c r="F56" i="9"/>
  <c r="J56" i="9"/>
  <c r="G56" i="9"/>
  <c r="O56" i="9"/>
  <c r="J64" i="9"/>
  <c r="F64" i="9"/>
  <c r="O64" i="9"/>
  <c r="G64" i="9"/>
  <c r="M64" i="9"/>
  <c r="P64" i="9"/>
  <c r="L64" i="9"/>
  <c r="I64" i="9"/>
  <c r="J68" i="9"/>
  <c r="F68" i="9"/>
  <c r="O68" i="9"/>
  <c r="G68" i="9"/>
  <c r="P68" i="9"/>
  <c r="L68" i="9"/>
  <c r="E74" i="9"/>
  <c r="M68" i="9"/>
  <c r="I68" i="9"/>
  <c r="J73" i="9"/>
  <c r="F73" i="9"/>
  <c r="O73" i="9"/>
  <c r="G73" i="9"/>
  <c r="M73" i="9"/>
  <c r="P73" i="9"/>
  <c r="L73" i="9"/>
  <c r="I73" i="9"/>
  <c r="J63" i="9"/>
  <c r="F63" i="9"/>
  <c r="O63" i="9"/>
  <c r="G63" i="9"/>
  <c r="I63" i="9"/>
  <c r="P63" i="9"/>
  <c r="L63" i="9"/>
  <c r="M63" i="9"/>
  <c r="L51" i="9"/>
  <c r="F51" i="9"/>
  <c r="P49" i="9"/>
  <c r="M49" i="9"/>
  <c r="J49" i="9"/>
  <c r="E50" i="9"/>
  <c r="F50" i="9" s="1"/>
  <c r="L49" i="9"/>
  <c r="I49" i="9"/>
  <c r="O49" i="9"/>
  <c r="M51" i="9"/>
  <c r="O51" i="9"/>
  <c r="I51" i="9"/>
  <c r="C121" i="13" l="1"/>
  <c r="F121" i="13"/>
  <c r="G121" i="13" s="1"/>
  <c r="C170" i="15"/>
  <c r="F170" i="15"/>
  <c r="G170" i="15" s="1"/>
  <c r="I170" i="15"/>
  <c r="J170" i="15" s="1"/>
  <c r="F267" i="16"/>
  <c r="L267" i="16" s="1"/>
  <c r="A105" i="16"/>
  <c r="A106" i="16" s="1"/>
  <c r="A107" i="16" s="1"/>
  <c r="G104" i="16" s="1"/>
  <c r="G96" i="16"/>
  <c r="M267" i="16"/>
  <c r="C269" i="16"/>
  <c r="E268" i="16"/>
  <c r="D268" i="16"/>
  <c r="J268" i="16" s="1"/>
  <c r="E171" i="15"/>
  <c r="D142" i="15"/>
  <c r="C143" i="15"/>
  <c r="H172" i="15" s="1"/>
  <c r="C94" i="13"/>
  <c r="E122" i="13"/>
  <c r="D93" i="13"/>
  <c r="O50" i="9"/>
  <c r="L50" i="9"/>
  <c r="J50" i="9"/>
  <c r="I50" i="9"/>
  <c r="J62" i="9"/>
  <c r="F62" i="9"/>
  <c r="O62" i="9"/>
  <c r="G62" i="9"/>
  <c r="M62" i="9"/>
  <c r="P62" i="9"/>
  <c r="L62" i="9"/>
  <c r="I62" i="9"/>
  <c r="J74" i="9"/>
  <c r="F74" i="9"/>
  <c r="O74" i="9"/>
  <c r="G74" i="9"/>
  <c r="P74" i="9"/>
  <c r="L74" i="9"/>
  <c r="M74" i="9"/>
  <c r="I74" i="9"/>
  <c r="M50" i="9"/>
  <c r="P50" i="9"/>
  <c r="G50" i="9"/>
  <c r="C122" i="13" l="1"/>
  <c r="F122" i="13"/>
  <c r="G122" i="13" s="1"/>
  <c r="C171" i="15"/>
  <c r="I171" i="15"/>
  <c r="J171" i="15" s="1"/>
  <c r="F171" i="15"/>
  <c r="G171" i="15" s="1"/>
  <c r="F268" i="16"/>
  <c r="L268" i="16" s="1"/>
  <c r="A109" i="16"/>
  <c r="A110" i="16"/>
  <c r="C270" i="16"/>
  <c r="E269" i="16"/>
  <c r="D269" i="16"/>
  <c r="J269" i="16" s="1"/>
  <c r="M268" i="16"/>
  <c r="E172" i="15"/>
  <c r="C144" i="15"/>
  <c r="H173" i="15" s="1"/>
  <c r="D143" i="15"/>
  <c r="E123" i="13"/>
  <c r="C95" i="13"/>
  <c r="D94" i="13"/>
  <c r="E79" i="8"/>
  <c r="C122" i="9" s="1"/>
  <c r="F122" i="9" s="1"/>
  <c r="H72" i="9" s="1"/>
  <c r="D79" i="8"/>
  <c r="B122" i="9" s="1"/>
  <c r="E122" i="9" s="1"/>
  <c r="H66" i="9" s="1"/>
  <c r="E75" i="8"/>
  <c r="D75" i="8"/>
  <c r="E71" i="8"/>
  <c r="C114" i="9" s="1"/>
  <c r="F114" i="9" s="1"/>
  <c r="H48" i="9" s="1"/>
  <c r="D71" i="8"/>
  <c r="D61" i="8"/>
  <c r="D36" i="8"/>
  <c r="D35" i="8"/>
  <c r="A35" i="8"/>
  <c r="G34" i="8"/>
  <c r="C31" i="8"/>
  <c r="C30" i="8"/>
  <c r="C29" i="8"/>
  <c r="C28" i="8"/>
  <c r="D201" i="8" l="1"/>
  <c r="D200" i="8"/>
  <c r="F200" i="8" s="1"/>
  <c r="D211" i="8"/>
  <c r="F211" i="8" s="1"/>
  <c r="D212" i="8"/>
  <c r="F212" i="8" s="1"/>
  <c r="D213" i="8"/>
  <c r="F213" i="8" s="1"/>
  <c r="D214" i="8"/>
  <c r="F214" i="8" s="1"/>
  <c r="D215" i="8"/>
  <c r="F215" i="8" s="1"/>
  <c r="D216" i="8"/>
  <c r="F216" i="8" s="1"/>
  <c r="D217" i="8"/>
  <c r="F217" i="8" s="1"/>
  <c r="D218" i="8"/>
  <c r="F218" i="8" s="1"/>
  <c r="D219" i="8"/>
  <c r="F219" i="8" s="1"/>
  <c r="D220" i="8"/>
  <c r="F220" i="8" s="1"/>
  <c r="D221" i="8"/>
  <c r="F221" i="8" s="1"/>
  <c r="D222" i="8"/>
  <c r="F222" i="8" s="1"/>
  <c r="D223" i="8"/>
  <c r="F223" i="8" s="1"/>
  <c r="D224" i="8"/>
  <c r="F224" i="8" s="1"/>
  <c r="D225" i="8"/>
  <c r="F225" i="8" s="1"/>
  <c r="D202" i="8"/>
  <c r="F202" i="8" s="1"/>
  <c r="D203" i="8"/>
  <c r="F203" i="8" s="1"/>
  <c r="D204" i="8"/>
  <c r="F204" i="8" s="1"/>
  <c r="D205" i="8"/>
  <c r="F205" i="8" s="1"/>
  <c r="D206" i="8"/>
  <c r="F206" i="8" s="1"/>
  <c r="D207" i="8"/>
  <c r="F207" i="8" s="1"/>
  <c r="D208" i="8"/>
  <c r="F208" i="8" s="1"/>
  <c r="D209" i="8"/>
  <c r="F209" i="8" s="1"/>
  <c r="D210" i="8"/>
  <c r="F210" i="8" s="1"/>
  <c r="C123" i="13"/>
  <c r="F123" i="13"/>
  <c r="G123" i="13" s="1"/>
  <c r="C172" i="15"/>
  <c r="I172" i="15"/>
  <c r="J172" i="15" s="1"/>
  <c r="F172" i="15"/>
  <c r="G172" i="15" s="1"/>
  <c r="F269" i="16"/>
  <c r="L269" i="16" s="1"/>
  <c r="A111" i="16"/>
  <c r="D37" i="8"/>
  <c r="D153" i="8" s="1"/>
  <c r="E270" i="16"/>
  <c r="C271" i="16"/>
  <c r="D270" i="16"/>
  <c r="J270" i="16" s="1"/>
  <c r="M269" i="16"/>
  <c r="E173" i="15"/>
  <c r="D144" i="15"/>
  <c r="E124" i="13"/>
  <c r="D95" i="13"/>
  <c r="D62" i="8"/>
  <c r="D63" i="8"/>
  <c r="D64" i="8"/>
  <c r="J80" i="8"/>
  <c r="J122" i="8" s="1"/>
  <c r="K48" i="9"/>
  <c r="H53" i="9"/>
  <c r="H52" i="9"/>
  <c r="H49" i="9"/>
  <c r="H51" i="9"/>
  <c r="H50" i="9"/>
  <c r="K72" i="9"/>
  <c r="H77" i="9"/>
  <c r="H75" i="9"/>
  <c r="H76" i="9"/>
  <c r="H73" i="9"/>
  <c r="H74" i="9"/>
  <c r="J72" i="8"/>
  <c r="B114" i="9"/>
  <c r="E114" i="9" s="1"/>
  <c r="H42" i="9" s="1"/>
  <c r="K66" i="9"/>
  <c r="H71" i="9"/>
  <c r="H69" i="9"/>
  <c r="H70" i="9"/>
  <c r="H67" i="9"/>
  <c r="H68" i="9"/>
  <c r="K80" i="8"/>
  <c r="K76" i="8"/>
  <c r="C118" i="9"/>
  <c r="F118" i="9" s="1"/>
  <c r="H60" i="9" s="1"/>
  <c r="J76" i="8"/>
  <c r="B118" i="9"/>
  <c r="E118" i="9" s="1"/>
  <c r="H54" i="9" s="1"/>
  <c r="K72" i="8"/>
  <c r="G35" i="8"/>
  <c r="A36" i="8"/>
  <c r="J201" i="8" l="1"/>
  <c r="J211" i="8"/>
  <c r="J212" i="8"/>
  <c r="J213" i="8"/>
  <c r="J214" i="8"/>
  <c r="J215" i="8"/>
  <c r="J216" i="8"/>
  <c r="J217" i="8"/>
  <c r="J218" i="8"/>
  <c r="J219" i="8"/>
  <c r="J220" i="8"/>
  <c r="J221" i="8"/>
  <c r="J222" i="8"/>
  <c r="J223" i="8"/>
  <c r="J224" i="8"/>
  <c r="J225" i="8"/>
  <c r="J202" i="8"/>
  <c r="J203" i="8"/>
  <c r="J204" i="8"/>
  <c r="J205" i="8"/>
  <c r="J206" i="8"/>
  <c r="J207" i="8"/>
  <c r="J208" i="8"/>
  <c r="J209" i="8"/>
  <c r="J210" i="8"/>
  <c r="F201" i="8"/>
  <c r="C124" i="13"/>
  <c r="F124" i="13"/>
  <c r="G124" i="13" s="1"/>
  <c r="C173" i="15"/>
  <c r="J24" i="15" s="1"/>
  <c r="I173" i="15"/>
  <c r="J173" i="15" s="1"/>
  <c r="F173" i="15"/>
  <c r="G173" i="15" s="1"/>
  <c r="F270" i="16"/>
  <c r="L270" i="16" s="1"/>
  <c r="G109" i="16"/>
  <c r="A113" i="16"/>
  <c r="D154" i="8"/>
  <c r="D155" i="8"/>
  <c r="M270" i="16"/>
  <c r="E271" i="16"/>
  <c r="D271" i="16"/>
  <c r="J271" i="16" s="1"/>
  <c r="D57" i="15"/>
  <c r="D7" i="15" s="1"/>
  <c r="D37" i="13"/>
  <c r="D44" i="13" s="1"/>
  <c r="D97" i="8"/>
  <c r="D96" i="8"/>
  <c r="E85" i="9"/>
  <c r="E86" i="9"/>
  <c r="K54" i="9"/>
  <c r="H59" i="9"/>
  <c r="H55" i="9"/>
  <c r="H58" i="9"/>
  <c r="H57" i="9"/>
  <c r="H56" i="9"/>
  <c r="N66" i="9"/>
  <c r="K71" i="9"/>
  <c r="K69" i="9"/>
  <c r="K67" i="9"/>
  <c r="K70" i="9"/>
  <c r="K68" i="9"/>
  <c r="N72" i="9"/>
  <c r="K75" i="9"/>
  <c r="K77" i="9"/>
  <c r="K76" i="9"/>
  <c r="K73" i="9"/>
  <c r="K74" i="9"/>
  <c r="D95" i="8"/>
  <c r="J120" i="8"/>
  <c r="N48" i="9"/>
  <c r="K53" i="9"/>
  <c r="K52" i="9"/>
  <c r="K51" i="9"/>
  <c r="K50" i="9"/>
  <c r="K49" i="9"/>
  <c r="J121" i="8"/>
  <c r="K42" i="9"/>
  <c r="H46" i="9"/>
  <c r="H47" i="9"/>
  <c r="H45" i="9"/>
  <c r="H43" i="9"/>
  <c r="H44" i="9"/>
  <c r="E82" i="9"/>
  <c r="K60" i="9"/>
  <c r="H65" i="9"/>
  <c r="H61" i="9"/>
  <c r="H63" i="9"/>
  <c r="H64" i="9"/>
  <c r="H62" i="9"/>
  <c r="G36" i="8"/>
  <c r="A37" i="8"/>
  <c r="A38" i="8" s="1"/>
  <c r="G38" i="8" s="1"/>
  <c r="L201" i="8" l="1"/>
  <c r="L202" i="8"/>
  <c r="L203" i="8"/>
  <c r="L204" i="8"/>
  <c r="L205" i="8"/>
  <c r="L206" i="8"/>
  <c r="L207" i="8"/>
  <c r="L208" i="8"/>
  <c r="L209" i="8"/>
  <c r="L210" i="8"/>
  <c r="L212" i="8"/>
  <c r="L213" i="8"/>
  <c r="L214" i="8"/>
  <c r="L215" i="8"/>
  <c r="L216" i="8"/>
  <c r="L217" i="8"/>
  <c r="L218" i="8"/>
  <c r="L219" i="8"/>
  <c r="L220" i="8"/>
  <c r="L221" i="8"/>
  <c r="L222" i="8"/>
  <c r="L223" i="8"/>
  <c r="L224" i="8"/>
  <c r="L225" i="8"/>
  <c r="L211" i="8"/>
  <c r="F271" i="16"/>
  <c r="L271" i="16" s="1"/>
  <c r="K37" i="16" s="1"/>
  <c r="A114" i="16"/>
  <c r="F96" i="8"/>
  <c r="E96" i="8"/>
  <c r="D100" i="8"/>
  <c r="K122" i="8" s="1"/>
  <c r="D122" i="8" s="1"/>
  <c r="D131" i="8" s="1"/>
  <c r="F97" i="8"/>
  <c r="E97" i="8"/>
  <c r="D98" i="8"/>
  <c r="K120" i="8" s="1"/>
  <c r="D120" i="8" s="1"/>
  <c r="F95" i="8"/>
  <c r="E95" i="8"/>
  <c r="O89" i="9"/>
  <c r="D110" i="8" s="1"/>
  <c r="D25" i="8"/>
  <c r="M271" i="16"/>
  <c r="J57" i="15"/>
  <c r="K57" i="15"/>
  <c r="D58" i="15"/>
  <c r="D8" i="15" s="1"/>
  <c r="D7" i="13"/>
  <c r="D46" i="13"/>
  <c r="D13" i="13" s="1"/>
  <c r="D11" i="13"/>
  <c r="D45" i="13"/>
  <c r="D12" i="13" s="1"/>
  <c r="D99" i="8"/>
  <c r="K121" i="8" s="1"/>
  <c r="D121" i="8" s="1"/>
  <c r="J83" i="9"/>
  <c r="O83" i="9" s="1"/>
  <c r="E81" i="9"/>
  <c r="J81" i="9" s="1"/>
  <c r="O81" i="9" s="1"/>
  <c r="F85" i="9"/>
  <c r="N60" i="9"/>
  <c r="K65" i="9"/>
  <c r="K61" i="9"/>
  <c r="K63" i="9"/>
  <c r="K64" i="9"/>
  <c r="K62" i="9"/>
  <c r="N42" i="9"/>
  <c r="K46" i="9"/>
  <c r="K47" i="9"/>
  <c r="K45" i="9"/>
  <c r="K43" i="9"/>
  <c r="K44" i="9"/>
  <c r="Q66" i="9"/>
  <c r="N71" i="9"/>
  <c r="N69" i="9"/>
  <c r="N67" i="9"/>
  <c r="N70" i="9"/>
  <c r="N68" i="9"/>
  <c r="Q48" i="9"/>
  <c r="N49" i="9"/>
  <c r="N53" i="9"/>
  <c r="N52" i="9"/>
  <c r="N51" i="9"/>
  <c r="N50" i="9"/>
  <c r="Q72" i="9"/>
  <c r="N76" i="9"/>
  <c r="N75" i="9"/>
  <c r="N77" i="9"/>
  <c r="N73" i="9"/>
  <c r="N74" i="9"/>
  <c r="N54" i="9"/>
  <c r="K59" i="9"/>
  <c r="K55" i="9"/>
  <c r="K57" i="9"/>
  <c r="K58" i="9"/>
  <c r="K56" i="9"/>
  <c r="E83" i="9"/>
  <c r="E84" i="9"/>
  <c r="F82" i="9"/>
  <c r="F86" i="9"/>
  <c r="G37" i="8"/>
  <c r="A40" i="8"/>
  <c r="D113" i="16" l="1"/>
  <c r="D115" i="16"/>
  <c r="D114" i="16"/>
  <c r="D104" i="16"/>
  <c r="D106" i="16"/>
  <c r="E104" i="16"/>
  <c r="D105" i="16"/>
  <c r="F104" i="16"/>
  <c r="E99" i="8"/>
  <c r="L121" i="8" s="1"/>
  <c r="A115" i="16"/>
  <c r="D128" i="8"/>
  <c r="D125" i="8"/>
  <c r="D127" i="8"/>
  <c r="D130" i="8"/>
  <c r="D124" i="8"/>
  <c r="D123" i="8"/>
  <c r="D129" i="8"/>
  <c r="D126" i="8"/>
  <c r="O88" i="9"/>
  <c r="D109" i="8" s="1"/>
  <c r="P89" i="9"/>
  <c r="O87" i="9"/>
  <c r="D108" i="8" s="1"/>
  <c r="J58" i="15"/>
  <c r="K58" i="15"/>
  <c r="E98" i="8"/>
  <c r="F98" i="8"/>
  <c r="M120" i="8" s="1"/>
  <c r="F100" i="8"/>
  <c r="E100" i="8"/>
  <c r="L122" i="8" s="1"/>
  <c r="F99" i="8"/>
  <c r="M121" i="8" s="1"/>
  <c r="K83" i="9"/>
  <c r="P83" i="9" s="1"/>
  <c r="F84" i="9"/>
  <c r="Q54" i="9"/>
  <c r="N55" i="9"/>
  <c r="N59" i="9"/>
  <c r="N57" i="9"/>
  <c r="N58" i="9"/>
  <c r="N56" i="9"/>
  <c r="Q60" i="9"/>
  <c r="N65" i="9"/>
  <c r="N61" i="9"/>
  <c r="N64" i="9"/>
  <c r="N63" i="9"/>
  <c r="N62" i="9"/>
  <c r="Q75" i="9"/>
  <c r="Q77" i="9"/>
  <c r="Q73" i="9"/>
  <c r="Q76" i="9"/>
  <c r="Q74" i="9"/>
  <c r="J82" i="9"/>
  <c r="O82" i="9" s="1"/>
  <c r="G82" i="9"/>
  <c r="F83" i="9"/>
  <c r="G86" i="9"/>
  <c r="G85" i="9"/>
  <c r="Q71" i="9"/>
  <c r="Q69" i="9"/>
  <c r="Q70" i="9"/>
  <c r="Q67" i="9"/>
  <c r="Q68" i="9"/>
  <c r="Q42" i="9"/>
  <c r="N46" i="9"/>
  <c r="N47" i="9"/>
  <c r="N43" i="9"/>
  <c r="N45" i="9"/>
  <c r="N44" i="9"/>
  <c r="Q53" i="9"/>
  <c r="Q52" i="9"/>
  <c r="Q51" i="9"/>
  <c r="Q49" i="9"/>
  <c r="Q50" i="9"/>
  <c r="F81" i="9"/>
  <c r="K81" i="9" s="1"/>
  <c r="P81" i="9" s="1"/>
  <c r="A41" i="8"/>
  <c r="E106" i="16" l="1"/>
  <c r="F106" i="16"/>
  <c r="F105" i="16"/>
  <c r="E105" i="16"/>
  <c r="D107" i="16"/>
  <c r="D21" i="16" s="1"/>
  <c r="F121" i="8"/>
  <c r="F124" i="8" s="1"/>
  <c r="A116" i="16"/>
  <c r="P88" i="9"/>
  <c r="Q89" i="9"/>
  <c r="E110" i="8" s="1"/>
  <c r="P87" i="9"/>
  <c r="E121" i="8"/>
  <c r="M122" i="8"/>
  <c r="F122" i="8" s="1"/>
  <c r="E122" i="8"/>
  <c r="K82" i="9"/>
  <c r="P82" i="9" s="1"/>
  <c r="G81" i="9"/>
  <c r="L81" i="9" s="1"/>
  <c r="Q81" i="9" s="1"/>
  <c r="L83" i="9"/>
  <c r="Q83" i="9" s="1"/>
  <c r="G84" i="9"/>
  <c r="Q61" i="9"/>
  <c r="Q65" i="9"/>
  <c r="Q63" i="9"/>
  <c r="Q64" i="9"/>
  <c r="Q62" i="9"/>
  <c r="Q55" i="9"/>
  <c r="Q59" i="9"/>
  <c r="Q58" i="9"/>
  <c r="Q57" i="9"/>
  <c r="Q56" i="9"/>
  <c r="H86" i="9"/>
  <c r="Q47" i="9"/>
  <c r="Q46" i="9"/>
  <c r="Q45" i="9"/>
  <c r="Q43" i="9"/>
  <c r="Q44" i="9"/>
  <c r="F120" i="8"/>
  <c r="L120" i="8"/>
  <c r="E120" i="8" s="1"/>
  <c r="H82" i="9"/>
  <c r="H85" i="9"/>
  <c r="G83" i="9"/>
  <c r="A42" i="8"/>
  <c r="G39" i="8" s="1"/>
  <c r="F107" i="16" l="1"/>
  <c r="F21" i="16" s="1"/>
  <c r="F130" i="8"/>
  <c r="E107" i="16"/>
  <c r="E21" i="16" s="1"/>
  <c r="D156" i="16"/>
  <c r="D31" i="16" s="1"/>
  <c r="F127" i="8"/>
  <c r="G113" i="16"/>
  <c r="A121" i="16"/>
  <c r="A122" i="16" s="1"/>
  <c r="A123" i="16" s="1"/>
  <c r="A143" i="16" s="1"/>
  <c r="E127" i="8"/>
  <c r="E130" i="8"/>
  <c r="E124" i="8"/>
  <c r="F128" i="8"/>
  <c r="F131" i="8"/>
  <c r="F125" i="8"/>
  <c r="E128" i="8"/>
  <c r="E131" i="8"/>
  <c r="E125" i="8"/>
  <c r="E126" i="8"/>
  <c r="E129" i="8"/>
  <c r="E123" i="8"/>
  <c r="F129" i="8"/>
  <c r="F123" i="8"/>
  <c r="F126" i="8"/>
  <c r="R89" i="9"/>
  <c r="F110" i="8" s="1"/>
  <c r="Q88" i="9"/>
  <c r="E109" i="8" s="1"/>
  <c r="Q87" i="9"/>
  <c r="E108" i="8" s="1"/>
  <c r="H81" i="9"/>
  <c r="M81" i="9" s="1"/>
  <c r="R81" i="9" s="1"/>
  <c r="S81" i="9" s="1"/>
  <c r="L82" i="9"/>
  <c r="Q82" i="9" s="1"/>
  <c r="H84" i="9"/>
  <c r="H83" i="9"/>
  <c r="M83" i="9"/>
  <c r="R83" i="9" s="1"/>
  <c r="S83" i="9" s="1"/>
  <c r="A44" i="8"/>
  <c r="F156" i="16" l="1"/>
  <c r="F31" i="16" s="1"/>
  <c r="E156" i="16"/>
  <c r="E31" i="16" s="1"/>
  <c r="A144" i="16"/>
  <c r="A145" i="16" s="1"/>
  <c r="A146" i="16" s="1"/>
  <c r="G143" i="16" s="1"/>
  <c r="G121" i="16"/>
  <c r="R88" i="9"/>
  <c r="F109" i="8" s="1"/>
  <c r="R87" i="9"/>
  <c r="F108" i="8" s="1"/>
  <c r="D118" i="8"/>
  <c r="D116" i="8"/>
  <c r="A45" i="8"/>
  <c r="M82" i="9"/>
  <c r="R82" i="9" s="1"/>
  <c r="S82" i="9" s="1"/>
  <c r="G44" i="8"/>
  <c r="A148" i="16" l="1"/>
  <c r="A149" i="16" s="1"/>
  <c r="G45" i="8"/>
  <c r="D117" i="8"/>
  <c r="D116" i="16"/>
  <c r="D22" i="16" s="1"/>
  <c r="A46" i="8"/>
  <c r="G46" i="8" s="1"/>
  <c r="A150" i="16" l="1"/>
  <c r="A151" i="16" s="1"/>
  <c r="G151" i="16" s="1"/>
  <c r="A47" i="8"/>
  <c r="A48" i="8" s="1"/>
  <c r="G48" i="8" s="1"/>
  <c r="K37" i="8" l="1"/>
  <c r="D147" i="8" s="1"/>
  <c r="G148" i="16"/>
  <c r="A153" i="16"/>
  <c r="G153" i="16" s="1"/>
  <c r="G47" i="8"/>
  <c r="A49" i="8"/>
  <c r="A50" i="8" s="1"/>
  <c r="A51" i="8" s="1"/>
  <c r="A53" i="8" s="1"/>
  <c r="G34" i="6"/>
  <c r="F105" i="8" l="1"/>
  <c r="D105" i="8"/>
  <c r="E105" i="8"/>
  <c r="D149" i="8"/>
  <c r="D114" i="8"/>
  <c r="D103" i="8"/>
  <c r="D112" i="8"/>
  <c r="E103" i="8"/>
  <c r="D148" i="8"/>
  <c r="D113" i="8"/>
  <c r="F103" i="8"/>
  <c r="A154" i="16"/>
  <c r="G154" i="16" s="1"/>
  <c r="A54" i="8"/>
  <c r="A56" i="8" s="1"/>
  <c r="G51" i="8"/>
  <c r="G49" i="8"/>
  <c r="G50" i="8"/>
  <c r="A155" i="16" l="1"/>
  <c r="G155" i="16" s="1"/>
  <c r="G52" i="8"/>
  <c r="D150" i="8"/>
  <c r="D115" i="8"/>
  <c r="D21" i="8" s="1"/>
  <c r="D106" i="8"/>
  <c r="D160" i="8" s="1"/>
  <c r="E106" i="8"/>
  <c r="E160" i="8" s="1"/>
  <c r="G56" i="8"/>
  <c r="A57" i="8"/>
  <c r="D23" i="8" l="1"/>
  <c r="A156" i="16"/>
  <c r="G156" i="16" s="1"/>
  <c r="A58" i="8"/>
  <c r="A59" i="8" s="1"/>
  <c r="A61" i="8" s="1"/>
  <c r="G61" i="8" s="1"/>
  <c r="F106" i="8"/>
  <c r="F160" i="8" s="1"/>
  <c r="E20" i="8"/>
  <c r="E31" i="8"/>
  <c r="D20" i="8"/>
  <c r="D31" i="8"/>
  <c r="G57" i="8" l="1"/>
  <c r="A66" i="8"/>
  <c r="G66" i="8" s="1"/>
  <c r="F20" i="8"/>
  <c r="F31" i="8"/>
  <c r="A69" i="8" l="1"/>
  <c r="A70" i="8" l="1"/>
  <c r="A71" i="8" s="1"/>
  <c r="A72" i="8" s="1"/>
  <c r="A73" i="8" s="1"/>
  <c r="A74" i="8" s="1"/>
  <c r="A75" i="8" s="1"/>
  <c r="A76" i="8" s="1"/>
  <c r="A77" i="8" s="1"/>
  <c r="A78" i="8" s="1"/>
  <c r="A79" i="8" s="1"/>
  <c r="A80" i="8" s="1"/>
  <c r="G69" i="8" s="1"/>
  <c r="D261" i="6" l="1"/>
  <c r="C30" i="6"/>
  <c r="C29" i="6"/>
  <c r="C28" i="6"/>
  <c r="C27" i="6"/>
  <c r="G331" i="6"/>
  <c r="G332" i="6" s="1"/>
  <c r="G333" i="6" s="1"/>
  <c r="G334" i="6" s="1"/>
  <c r="G335" i="6" s="1"/>
  <c r="G336" i="6" s="1"/>
  <c r="G337" i="6" s="1"/>
  <c r="G338" i="6" s="1"/>
  <c r="G339" i="6" s="1"/>
  <c r="G340" i="6" s="1"/>
  <c r="G341" i="6" s="1"/>
  <c r="G342" i="6" s="1"/>
  <c r="G343" i="6" s="1"/>
  <c r="G344" i="6" s="1"/>
  <c r="G345" i="6" s="1"/>
  <c r="G346" i="6" s="1"/>
  <c r="G347" i="6" s="1"/>
  <c r="G348" i="6" s="1"/>
  <c r="G349" i="6" s="1"/>
  <c r="G350" i="6" s="1"/>
  <c r="G351" i="6" s="1"/>
  <c r="G352" i="6" s="1"/>
  <c r="G353" i="6" s="1"/>
  <c r="G354" i="6" s="1"/>
  <c r="A35" i="6"/>
  <c r="G35" i="6" l="1"/>
  <c r="D260" i="6"/>
  <c r="A36" i="6"/>
  <c r="G36" i="6" s="1"/>
  <c r="A37" i="6" l="1"/>
  <c r="G37" i="6" l="1"/>
  <c r="A40" i="6" l="1"/>
  <c r="A41" i="6" l="1"/>
  <c r="A42" i="6" l="1"/>
  <c r="A44" i="6" s="1"/>
  <c r="G44" i="6" l="1"/>
  <c r="A45" i="6"/>
  <c r="G39" i="6"/>
  <c r="A46" i="6" l="1"/>
  <c r="A47" i="6" s="1"/>
  <c r="A48" i="6" s="1"/>
  <c r="A49" i="6" s="1"/>
  <c r="G45" i="6" l="1"/>
  <c r="A50" i="6"/>
  <c r="A51" i="6" s="1"/>
  <c r="A52" i="6" s="1"/>
  <c r="A53" i="6" s="1"/>
  <c r="A55" i="6" s="1"/>
  <c r="G46" i="6"/>
  <c r="G47" i="6"/>
  <c r="A56" i="6" l="1"/>
  <c r="A57" i="6" s="1"/>
  <c r="G48" i="6"/>
  <c r="A58" i="6" l="1"/>
  <c r="A61" i="6" s="1"/>
  <c r="G49" i="6"/>
  <c r="A62" i="6" l="1"/>
  <c r="A63" i="6" s="1"/>
  <c r="A65" i="6" s="1"/>
  <c r="A66" i="6" s="1"/>
  <c r="A67" i="6" s="1"/>
  <c r="A75" i="6" s="1"/>
  <c r="A76" i="6" s="1"/>
  <c r="A77" i="6" s="1"/>
  <c r="G50" i="6"/>
  <c r="G51" i="6" l="1"/>
  <c r="G55" i="6" l="1"/>
  <c r="G56" i="6" l="1"/>
  <c r="G61" i="6" l="1"/>
  <c r="G65" i="6" l="1"/>
  <c r="G75" i="6"/>
  <c r="A92" i="6" l="1"/>
  <c r="A93" i="6" s="1"/>
  <c r="A94" i="6" s="1"/>
  <c r="G92" i="6" s="1"/>
  <c r="A110" i="6" l="1"/>
  <c r="A111" i="6" s="1"/>
  <c r="A112" i="6" s="1"/>
  <c r="A113" i="6" s="1"/>
  <c r="G110" i="6" l="1"/>
  <c r="A119" i="6"/>
  <c r="A120" i="6" l="1"/>
  <c r="A121" i="6" s="1"/>
  <c r="A123" i="6" s="1"/>
  <c r="A124" i="6" l="1"/>
  <c r="A125" i="6" s="1"/>
  <c r="G119" i="6"/>
  <c r="A126" i="6" l="1"/>
  <c r="G123" i="6" s="1"/>
  <c r="A128" i="6" l="1"/>
  <c r="A129" i="6" s="1"/>
  <c r="A130" i="6" s="1"/>
  <c r="G128" i="6" s="1"/>
  <c r="A150" i="6" l="1"/>
  <c r="A151" i="6" s="1"/>
  <c r="A152" i="6" s="1"/>
  <c r="A153" i="6" l="1"/>
  <c r="J130" i="6"/>
  <c r="J129" i="6"/>
  <c r="J128" i="6"/>
  <c r="M130" i="6"/>
  <c r="M129" i="6"/>
  <c r="M128" i="6"/>
  <c r="L128" i="6"/>
  <c r="E128" i="6" s="1"/>
  <c r="F128" i="6" l="1"/>
  <c r="F137" i="6" s="1"/>
  <c r="F129" i="6"/>
  <c r="F135" i="6" s="1"/>
  <c r="E134" i="6"/>
  <c r="E137" i="6"/>
  <c r="E131" i="6"/>
  <c r="F138" i="6"/>
  <c r="A155" i="6"/>
  <c r="G150" i="6"/>
  <c r="L106" i="6"/>
  <c r="L104" i="6"/>
  <c r="L105" i="6"/>
  <c r="L100" i="6"/>
  <c r="L102" i="6"/>
  <c r="L101" i="6"/>
  <c r="L98" i="6"/>
  <c r="L96" i="6"/>
  <c r="L97" i="6"/>
  <c r="F130" i="6"/>
  <c r="L129" i="6"/>
  <c r="K129" i="6"/>
  <c r="K128" i="6"/>
  <c r="K130" i="6"/>
  <c r="D130" i="6" s="1"/>
  <c r="L130" i="6"/>
  <c r="E130" i="6" s="1"/>
  <c r="F132" i="6" l="1"/>
  <c r="F144" i="6" s="1"/>
  <c r="F134" i="6"/>
  <c r="F131" i="6"/>
  <c r="F140" i="6" s="1"/>
  <c r="F139" i="6"/>
  <c r="F133" i="6"/>
  <c r="F145" i="6" s="1"/>
  <c r="F136" i="6"/>
  <c r="D139" i="6"/>
  <c r="D133" i="6"/>
  <c r="D145" i="6" s="1"/>
  <c r="D136" i="6"/>
  <c r="E139" i="6"/>
  <c r="E136" i="6"/>
  <c r="E133" i="6"/>
  <c r="D88" i="19"/>
  <c r="A156" i="6"/>
  <c r="A157" i="6" s="1"/>
  <c r="A158" i="6" s="1"/>
  <c r="G158" i="6" s="1"/>
  <c r="L107" i="6"/>
  <c r="D94" i="6" s="1"/>
  <c r="L99" i="6"/>
  <c r="D92" i="6" s="1"/>
  <c r="L103" i="6"/>
  <c r="D93" i="6" s="1"/>
  <c r="E129" i="6"/>
  <c r="D129" i="6"/>
  <c r="D128" i="6"/>
  <c r="D50" i="15"/>
  <c r="D55" i="15" s="1"/>
  <c r="E143" i="6"/>
  <c r="D132" i="8"/>
  <c r="F113" i="19" l="1"/>
  <c r="F13" i="19" s="1"/>
  <c r="E113" i="19"/>
  <c r="E116" i="19" s="1"/>
  <c r="D113" i="19"/>
  <c r="D116" i="19" s="1"/>
  <c r="D59" i="15"/>
  <c r="E92" i="6"/>
  <c r="E103" i="6" s="1"/>
  <c r="F92" i="6"/>
  <c r="F103" i="6" s="1"/>
  <c r="F94" i="6"/>
  <c r="F105" i="6" s="1"/>
  <c r="E94" i="6"/>
  <c r="E105" i="6" s="1"/>
  <c r="F93" i="6"/>
  <c r="F104" i="6" s="1"/>
  <c r="E93" i="6"/>
  <c r="E104" i="6" s="1"/>
  <c r="D134" i="6"/>
  <c r="D137" i="6"/>
  <c r="D131" i="6"/>
  <c r="D143" i="6" s="1"/>
  <c r="E138" i="6"/>
  <c r="E135" i="6"/>
  <c r="E132" i="6"/>
  <c r="E147" i="6" s="1"/>
  <c r="D138" i="6"/>
  <c r="D132" i="6"/>
  <c r="D144" i="6" s="1"/>
  <c r="D135" i="6"/>
  <c r="G155" i="6"/>
  <c r="A160" i="6"/>
  <c r="G160" i="6" s="1"/>
  <c r="E134" i="16"/>
  <c r="E140" i="16"/>
  <c r="E137" i="16"/>
  <c r="D138" i="16"/>
  <c r="D135" i="16"/>
  <c r="D141" i="16"/>
  <c r="F137" i="16"/>
  <c r="F134" i="16"/>
  <c r="F140" i="16"/>
  <c r="E136" i="16"/>
  <c r="E139" i="16"/>
  <c r="E133" i="16"/>
  <c r="E138" i="16"/>
  <c r="E135" i="16"/>
  <c r="E141" i="16"/>
  <c r="F136" i="16"/>
  <c r="F139" i="16"/>
  <c r="F133" i="16"/>
  <c r="D134" i="16"/>
  <c r="D137" i="16"/>
  <c r="D140" i="16"/>
  <c r="F138" i="16"/>
  <c r="F135" i="16"/>
  <c r="F141" i="16"/>
  <c r="D136" i="16"/>
  <c r="D139" i="16"/>
  <c r="D142" i="6"/>
  <c r="D148" i="6"/>
  <c r="E146" i="6"/>
  <c r="E140" i="6"/>
  <c r="E137" i="8"/>
  <c r="E140" i="8"/>
  <c r="E134" i="8"/>
  <c r="F133" i="8"/>
  <c r="F139" i="8"/>
  <c r="F136" i="8"/>
  <c r="E136" i="8"/>
  <c r="E139" i="8"/>
  <c r="E133" i="8"/>
  <c r="F132" i="8"/>
  <c r="F138" i="8"/>
  <c r="F135" i="8"/>
  <c r="F140" i="8"/>
  <c r="F134" i="8"/>
  <c r="F137" i="8"/>
  <c r="D136" i="8"/>
  <c r="D133" i="8"/>
  <c r="D139" i="8"/>
  <c r="E132" i="8"/>
  <c r="E135" i="8"/>
  <c r="E138" i="8"/>
  <c r="D135" i="8"/>
  <c r="D138" i="8"/>
  <c r="D140" i="8"/>
  <c r="D134" i="8"/>
  <c r="D137" i="8"/>
  <c r="F148" i="6"/>
  <c r="F142" i="6"/>
  <c r="F143" i="6"/>
  <c r="F146" i="6"/>
  <c r="E145" i="6"/>
  <c r="F147" i="6"/>
  <c r="F141" i="6"/>
  <c r="E142" i="8" l="1"/>
  <c r="D143" i="16"/>
  <c r="D142" i="8"/>
  <c r="F142" i="8"/>
  <c r="D144" i="8"/>
  <c r="F144" i="8" s="1"/>
  <c r="D143" i="8"/>
  <c r="E143" i="8" s="1"/>
  <c r="F116" i="19"/>
  <c r="F125" i="19" s="1"/>
  <c r="F143" i="16"/>
  <c r="D145" i="16"/>
  <c r="E145" i="16" s="1"/>
  <c r="F145" i="16"/>
  <c r="D144" i="16"/>
  <c r="F144" i="16" s="1"/>
  <c r="E143" i="16"/>
  <c r="D61" i="15"/>
  <c r="D71" i="15" s="1"/>
  <c r="D17" i="15" s="1"/>
  <c r="J59" i="15"/>
  <c r="K59" i="15"/>
  <c r="D9" i="15"/>
  <c r="D103" i="6"/>
  <c r="D104" i="6"/>
  <c r="D105" i="6"/>
  <c r="A161" i="6"/>
  <c r="G161" i="6" s="1"/>
  <c r="E13" i="19"/>
  <c r="D13" i="19"/>
  <c r="D146" i="6"/>
  <c r="D16" i="19"/>
  <c r="D127" i="19"/>
  <c r="D22" i="19" s="1"/>
  <c r="D125" i="19"/>
  <c r="E125" i="19"/>
  <c r="E16" i="19"/>
  <c r="E127" i="19"/>
  <c r="E22" i="19" s="1"/>
  <c r="E144" i="6"/>
  <c r="E141" i="6"/>
  <c r="D141" i="6"/>
  <c r="D147" i="6"/>
  <c r="D140" i="6"/>
  <c r="E142" i="6"/>
  <c r="E148" i="6"/>
  <c r="E144" i="8" l="1"/>
  <c r="E144" i="16"/>
  <c r="F143" i="8"/>
  <c r="F127" i="19"/>
  <c r="F22" i="19" s="1"/>
  <c r="F16" i="19"/>
  <c r="D11" i="15"/>
  <c r="D69" i="15"/>
  <c r="D70" i="15" s="1"/>
  <c r="D16" i="15" s="1"/>
  <c r="D95" i="6"/>
  <c r="A162" i="6"/>
  <c r="A163" i="6" s="1"/>
  <c r="G163" i="6" s="1"/>
  <c r="F20" i="19"/>
  <c r="F126" i="19"/>
  <c r="F21" i="19" s="1"/>
  <c r="E20" i="19"/>
  <c r="E126" i="19"/>
  <c r="E21" i="19" s="1"/>
  <c r="D126" i="19"/>
  <c r="D21" i="19" s="1"/>
  <c r="D20" i="19"/>
  <c r="F146" i="16"/>
  <c r="D146" i="16"/>
  <c r="E146" i="16"/>
  <c r="E145" i="8"/>
  <c r="D145" i="8"/>
  <c r="D157" i="8" l="1"/>
  <c r="D158" i="8" s="1"/>
  <c r="D159" i="8"/>
  <c r="D30" i="8" s="1"/>
  <c r="E159" i="8"/>
  <c r="E30" i="8" s="1"/>
  <c r="E157" i="8"/>
  <c r="E158" i="8" s="1"/>
  <c r="E29" i="8" s="1"/>
  <c r="D15" i="15"/>
  <c r="G162" i="6"/>
  <c r="E153" i="16"/>
  <c r="E154" i="16" s="1"/>
  <c r="E29" i="16" s="1"/>
  <c r="E155" i="16"/>
  <c r="E30" i="16" s="1"/>
  <c r="F153" i="16"/>
  <c r="F154" i="16" s="1"/>
  <c r="F29" i="16" s="1"/>
  <c r="F155" i="16"/>
  <c r="F30" i="16" s="1"/>
  <c r="D153" i="16"/>
  <c r="D28" i="16" s="1"/>
  <c r="D155" i="16"/>
  <c r="D30" i="16" s="1"/>
  <c r="E23" i="16"/>
  <c r="F23" i="16"/>
  <c r="D23" i="16"/>
  <c r="F145" i="8"/>
  <c r="E22" i="8"/>
  <c r="D22" i="8"/>
  <c r="F157" i="8" l="1"/>
  <c r="F158" i="8" s="1"/>
  <c r="F29" i="8" s="1"/>
  <c r="F159" i="8"/>
  <c r="F30" i="8" s="1"/>
  <c r="D154" i="16"/>
  <c r="D29" i="16" s="1"/>
  <c r="E28" i="16"/>
  <c r="F28" i="16"/>
  <c r="F22" i="8"/>
  <c r="E28" i="8"/>
  <c r="D28" i="8"/>
  <c r="D29" i="8"/>
  <c r="O84" i="16" l="1"/>
  <c r="D94" i="16" s="1"/>
  <c r="P84" i="16"/>
  <c r="F28" i="8"/>
  <c r="D36" i="6" l="1"/>
  <c r="D35" i="6"/>
  <c r="D329" i="6" s="1"/>
  <c r="F329" i="6" s="1"/>
  <c r="D37" i="6" l="1"/>
  <c r="D156" i="6" s="1"/>
  <c r="K331" i="6"/>
  <c r="K332" i="6" s="1"/>
  <c r="K333" i="6" s="1"/>
  <c r="K334" i="6" s="1"/>
  <c r="K335" i="6" s="1"/>
  <c r="K336" i="6" s="1"/>
  <c r="K337" i="6" s="1"/>
  <c r="K338" i="6" s="1"/>
  <c r="K339" i="6" s="1"/>
  <c r="K340" i="6" s="1"/>
  <c r="K341" i="6" s="1"/>
  <c r="K342" i="6" s="1"/>
  <c r="C330" i="6"/>
  <c r="E330" i="6" s="1"/>
  <c r="K343" i="6" l="1"/>
  <c r="K344" i="6" s="1"/>
  <c r="K345" i="6" s="1"/>
  <c r="K346" i="6" s="1"/>
  <c r="K347" i="6" s="1"/>
  <c r="K348" i="6" s="1"/>
  <c r="K349" i="6" s="1"/>
  <c r="K350" i="6" s="1"/>
  <c r="K351" i="6" s="1"/>
  <c r="K352" i="6" s="1"/>
  <c r="K353" i="6" s="1"/>
  <c r="K354" i="6" s="1"/>
  <c r="D96" i="6"/>
  <c r="D97" i="6" s="1"/>
  <c r="F100" i="6"/>
  <c r="F101" i="6" s="1"/>
  <c r="F98" i="6"/>
  <c r="F99" i="6" s="1"/>
  <c r="F96" i="6"/>
  <c r="F97" i="6" s="1"/>
  <c r="E100" i="6"/>
  <c r="E101" i="6" s="1"/>
  <c r="E96" i="6"/>
  <c r="E97" i="6" s="1"/>
  <c r="E98" i="6"/>
  <c r="E99" i="6" s="1"/>
  <c r="C331" i="6"/>
  <c r="D331" i="6" s="1"/>
  <c r="D330" i="6"/>
  <c r="D100" i="6"/>
  <c r="D101" i="6" s="1"/>
  <c r="D98" i="6"/>
  <c r="D99" i="6" s="1"/>
  <c r="D158" i="6"/>
  <c r="D25" i="6" s="1"/>
  <c r="J331" i="6" l="1"/>
  <c r="F330" i="6"/>
  <c r="C332" i="6"/>
  <c r="D332" i="6" s="1"/>
  <c r="J332" i="6" s="1"/>
  <c r="E331" i="6"/>
  <c r="F331" i="6" s="1"/>
  <c r="J330" i="6"/>
  <c r="K158" i="6"/>
  <c r="J158" i="6"/>
  <c r="L331" i="6" l="1"/>
  <c r="E332" i="6"/>
  <c r="F332" i="6" s="1"/>
  <c r="C333" i="6"/>
  <c r="C334" i="6" s="1"/>
  <c r="L332" i="6" l="1"/>
  <c r="D333" i="6"/>
  <c r="J333" i="6" s="1"/>
  <c r="E333" i="6"/>
  <c r="E334" i="6"/>
  <c r="D334" i="6"/>
  <c r="C335" i="6"/>
  <c r="F333" i="6" l="1"/>
  <c r="L333" i="6" s="1"/>
  <c r="F334" i="6"/>
  <c r="J334" i="6"/>
  <c r="D335" i="6"/>
  <c r="J335" i="6" s="1"/>
  <c r="E335" i="6"/>
  <c r="C336" i="6"/>
  <c r="L334" i="6" l="1"/>
  <c r="F335" i="6"/>
  <c r="L335" i="6" s="1"/>
  <c r="E336" i="6"/>
  <c r="D336" i="6"/>
  <c r="C337" i="6"/>
  <c r="F336" i="6" l="1"/>
  <c r="J336" i="6"/>
  <c r="E337" i="6"/>
  <c r="D337" i="6"/>
  <c r="C338" i="6"/>
  <c r="F337" i="6" l="1"/>
  <c r="L337" i="6" s="1"/>
  <c r="L336" i="6"/>
  <c r="J337" i="6"/>
  <c r="E338" i="6"/>
  <c r="D338" i="6"/>
  <c r="C339" i="6"/>
  <c r="F338" i="6" l="1"/>
  <c r="L338" i="6" s="1"/>
  <c r="J338" i="6"/>
  <c r="D339" i="6"/>
  <c r="J339" i="6" s="1"/>
  <c r="E339" i="6"/>
  <c r="C340" i="6"/>
  <c r="F339" i="6" l="1"/>
  <c r="L339" i="6" s="1"/>
  <c r="K37" i="6" s="1"/>
  <c r="D110" i="6" s="1"/>
  <c r="E340" i="6"/>
  <c r="D340" i="6"/>
  <c r="J340" i="6" s="1"/>
  <c r="C341" i="6"/>
  <c r="D123" i="6" l="1"/>
  <c r="D124" i="6"/>
  <c r="D125" i="6"/>
  <c r="E123" i="6"/>
  <c r="F123" i="6"/>
  <c r="E124" i="6"/>
  <c r="F125" i="6"/>
  <c r="E125" i="6"/>
  <c r="F124" i="6"/>
  <c r="F340" i="6"/>
  <c r="L340" i="6" s="1"/>
  <c r="F151" i="6"/>
  <c r="D152" i="6"/>
  <c r="F152" i="6" s="1"/>
  <c r="D151" i="6"/>
  <c r="D150" i="6"/>
  <c r="E150" i="6" s="1"/>
  <c r="E151" i="6"/>
  <c r="D111" i="6"/>
  <c r="D112" i="6"/>
  <c r="E341" i="6"/>
  <c r="D341" i="6"/>
  <c r="J341" i="6" s="1"/>
  <c r="C342" i="6"/>
  <c r="E152" i="6" l="1"/>
  <c r="M152" i="6" s="1"/>
  <c r="F150" i="6"/>
  <c r="O150" i="6" s="1"/>
  <c r="F341" i="6"/>
  <c r="L341" i="6" s="1"/>
  <c r="O152" i="6"/>
  <c r="N152" i="6"/>
  <c r="K151" i="6"/>
  <c r="J151" i="6"/>
  <c r="K150" i="6"/>
  <c r="J150" i="6"/>
  <c r="D153" i="6"/>
  <c r="L150" i="6"/>
  <c r="M150" i="6"/>
  <c r="M151" i="6"/>
  <c r="L151" i="6"/>
  <c r="N151" i="6"/>
  <c r="O151" i="6"/>
  <c r="J152" i="6"/>
  <c r="K152" i="6"/>
  <c r="F111" i="6"/>
  <c r="E111" i="6"/>
  <c r="F110" i="6"/>
  <c r="E110" i="6"/>
  <c r="F112" i="6"/>
  <c r="E112" i="6"/>
  <c r="D126" i="6"/>
  <c r="K125" i="6"/>
  <c r="J125" i="6"/>
  <c r="K124" i="6"/>
  <c r="J124" i="6"/>
  <c r="J123" i="6"/>
  <c r="K123" i="6"/>
  <c r="E342" i="6"/>
  <c r="D342" i="6"/>
  <c r="J342" i="6" s="1"/>
  <c r="C343" i="6"/>
  <c r="E113" i="6" l="1"/>
  <c r="F113" i="6"/>
  <c r="L152" i="6"/>
  <c r="E153" i="6"/>
  <c r="E23" i="6" s="1"/>
  <c r="N150" i="6"/>
  <c r="F153" i="6"/>
  <c r="F23" i="6" s="1"/>
  <c r="F342" i="6"/>
  <c r="L342" i="6" s="1"/>
  <c r="K153" i="6"/>
  <c r="J153" i="6"/>
  <c r="D23" i="6"/>
  <c r="D22" i="6"/>
  <c r="L124" i="6"/>
  <c r="M124" i="6"/>
  <c r="O125" i="6"/>
  <c r="N125" i="6"/>
  <c r="M125" i="6"/>
  <c r="L125" i="6"/>
  <c r="O124" i="6"/>
  <c r="N124" i="6"/>
  <c r="M123" i="6"/>
  <c r="L123" i="6"/>
  <c r="E126" i="6"/>
  <c r="E22" i="6" s="1"/>
  <c r="N123" i="6"/>
  <c r="F126" i="6"/>
  <c r="F22" i="6" s="1"/>
  <c r="O123" i="6"/>
  <c r="K126" i="6"/>
  <c r="J126" i="6"/>
  <c r="D343" i="6"/>
  <c r="J343" i="6" s="1"/>
  <c r="E343" i="6"/>
  <c r="C344" i="6"/>
  <c r="M153" i="6" l="1"/>
  <c r="L153" i="6"/>
  <c r="O153" i="6"/>
  <c r="N153" i="6"/>
  <c r="F343" i="6"/>
  <c r="L343" i="6" s="1"/>
  <c r="N126" i="6"/>
  <c r="O126" i="6"/>
  <c r="M126" i="6"/>
  <c r="L126" i="6"/>
  <c r="E344" i="6"/>
  <c r="D344" i="6"/>
  <c r="J344" i="6" s="1"/>
  <c r="C345" i="6"/>
  <c r="F344" i="6" l="1"/>
  <c r="L344" i="6" s="1"/>
  <c r="E345" i="6"/>
  <c r="D345" i="6"/>
  <c r="J345" i="6" s="1"/>
  <c r="C346" i="6"/>
  <c r="F345" i="6" l="1"/>
  <c r="L345" i="6" s="1"/>
  <c r="E346" i="6"/>
  <c r="D346" i="6"/>
  <c r="J346" i="6" s="1"/>
  <c r="C347" i="6"/>
  <c r="F346" i="6" l="1"/>
  <c r="L346" i="6" s="1"/>
  <c r="D347" i="6"/>
  <c r="J347" i="6" s="1"/>
  <c r="E347" i="6"/>
  <c r="C348" i="6"/>
  <c r="F347" i="6" l="1"/>
  <c r="L347" i="6" s="1"/>
  <c r="E348" i="6"/>
  <c r="D348" i="6"/>
  <c r="J348" i="6" s="1"/>
  <c r="C349" i="6"/>
  <c r="F348" i="6" l="1"/>
  <c r="L348" i="6" s="1"/>
  <c r="E349" i="6"/>
  <c r="D349" i="6"/>
  <c r="J349" i="6" s="1"/>
  <c r="C350" i="6"/>
  <c r="F349" i="6" l="1"/>
  <c r="L349" i="6" s="1"/>
  <c r="E350" i="6"/>
  <c r="D350" i="6"/>
  <c r="J350" i="6" s="1"/>
  <c r="C351" i="6"/>
  <c r="F350" i="6" l="1"/>
  <c r="L350" i="6" s="1"/>
  <c r="D351" i="6"/>
  <c r="J351" i="6" s="1"/>
  <c r="E351" i="6"/>
  <c r="C352" i="6"/>
  <c r="F351" i="6" l="1"/>
  <c r="L351" i="6" s="1"/>
  <c r="E352" i="6"/>
  <c r="D352" i="6"/>
  <c r="J352" i="6" s="1"/>
  <c r="C353" i="6"/>
  <c r="F352" i="6" l="1"/>
  <c r="L352" i="6" s="1"/>
  <c r="E353" i="6"/>
  <c r="D353" i="6"/>
  <c r="J353" i="6" s="1"/>
  <c r="C354" i="6"/>
  <c r="F353" i="6" l="1"/>
  <c r="L353" i="6" s="1"/>
  <c r="E354" i="6"/>
  <c r="D354" i="6"/>
  <c r="J354" i="6" s="1"/>
  <c r="D157" i="6"/>
  <c r="F354" i="6" l="1"/>
  <c r="L354" i="6" s="1"/>
  <c r="J110" i="6"/>
  <c r="M110" i="6" l="1"/>
  <c r="N110" i="6"/>
  <c r="M111" i="6"/>
  <c r="L111" i="6"/>
  <c r="N111" i="6"/>
  <c r="O111" i="6"/>
  <c r="J111" i="6"/>
  <c r="K111" i="6"/>
  <c r="K112" i="6"/>
  <c r="J112" i="6"/>
  <c r="D113" i="6"/>
  <c r="D163" i="6" s="1"/>
  <c r="K110" i="6"/>
  <c r="D162" i="6" l="1"/>
  <c r="O110" i="6"/>
  <c r="L110" i="6"/>
  <c r="E163" i="6"/>
  <c r="F163" i="6"/>
  <c r="D21" i="6"/>
  <c r="D160" i="6"/>
  <c r="J113" i="6"/>
  <c r="K113" i="6"/>
  <c r="O112" i="6"/>
  <c r="N112" i="6"/>
  <c r="M112" i="6"/>
  <c r="L112" i="6"/>
  <c r="E160" i="6" l="1"/>
  <c r="E27" i="6" s="1"/>
  <c r="E162" i="6"/>
  <c r="N113" i="6"/>
  <c r="F162" i="6"/>
  <c r="F160" i="6"/>
  <c r="F161" i="6" s="1"/>
  <c r="F28" i="6" s="1"/>
  <c r="L113" i="6"/>
  <c r="M113" i="6"/>
  <c r="E30" i="6"/>
  <c r="E21" i="6"/>
  <c r="O113" i="6"/>
  <c r="F21" i="6"/>
  <c r="F30" i="6"/>
  <c r="D30" i="6"/>
  <c r="D161" i="6"/>
  <c r="D28" i="6" s="1"/>
  <c r="D27" i="6"/>
  <c r="D29" i="6"/>
  <c r="E161" i="6" l="1"/>
  <c r="E28" i="6" s="1"/>
  <c r="F29" i="6"/>
  <c r="E29" i="6"/>
  <c r="F27" i="6"/>
  <c r="G95" i="8" l="1"/>
  <c r="A103" i="8" l="1"/>
  <c r="A104" i="8" l="1"/>
  <c r="A109" i="8" s="1"/>
  <c r="A108" i="8"/>
  <c r="A105" i="8" l="1"/>
  <c r="A110" i="8" s="1"/>
  <c r="G108" i="8" s="1"/>
  <c r="A106" i="8" l="1"/>
  <c r="A112" i="8" l="1"/>
  <c r="G103" i="8"/>
  <c r="A113" i="8" l="1"/>
  <c r="A114" i="8" s="1"/>
  <c r="A115" i="8" l="1"/>
  <c r="A120" i="8" l="1"/>
  <c r="G112" i="8"/>
  <c r="A121" i="8" l="1"/>
  <c r="A122" i="8" s="1"/>
  <c r="A142" i="8" s="1"/>
  <c r="G120" i="8" l="1"/>
  <c r="A143" i="8"/>
  <c r="A144" i="8" s="1"/>
  <c r="A145" i="8" s="1"/>
  <c r="A152" i="8" s="1"/>
  <c r="G142" i="8" l="1"/>
  <c r="A153" i="8"/>
  <c r="A154" i="8" l="1"/>
  <c r="A155" i="8" l="1"/>
  <c r="G155" i="8" s="1"/>
  <c r="G152" i="8"/>
  <c r="A157" i="8" l="1"/>
  <c r="G157" i="8" s="1"/>
  <c r="A158" i="8" l="1"/>
  <c r="A159" i="8" s="1"/>
  <c r="G158" i="8" l="1"/>
  <c r="G159" i="8"/>
  <c r="A160" i="8"/>
  <c r="G160" i="8" s="1"/>
  <c r="A33" i="19" l="1"/>
  <c r="G33" i="19" s="1"/>
  <c r="A34" i="19" l="1"/>
  <c r="A35" i="19"/>
  <c r="G35" i="19" s="1"/>
  <c r="G34" i="19" l="1"/>
  <c r="A38" i="19"/>
  <c r="G38" i="19" s="1"/>
  <c r="A39" i="19" l="1"/>
  <c r="G39" i="19" l="1"/>
  <c r="A42" i="19"/>
  <c r="G42" i="19" s="1"/>
  <c r="A44" i="19" l="1"/>
  <c r="G44" i="19" s="1"/>
  <c r="A45" i="19" l="1"/>
  <c r="G45" i="19" s="1"/>
  <c r="A47" i="19" l="1"/>
  <c r="G47" i="19" s="1"/>
  <c r="A48" i="19" l="1"/>
  <c r="G48" i="19" s="1"/>
  <c r="A49" i="19" l="1"/>
  <c r="G49" i="19" s="1"/>
  <c r="A50" i="19" l="1"/>
  <c r="G50" i="19" s="1"/>
  <c r="A51" i="19" l="1"/>
  <c r="G51" i="19"/>
  <c r="A52" i="19"/>
  <c r="G52" i="19" l="1"/>
  <c r="A53" i="19"/>
  <c r="G53" i="19" l="1"/>
  <c r="A55" i="19"/>
  <c r="G55" i="19" l="1"/>
  <c r="A56" i="19"/>
  <c r="G56" i="19" l="1"/>
  <c r="A57" i="19"/>
  <c r="G57" i="19" l="1"/>
  <c r="A60" i="19"/>
  <c r="G60" i="19" l="1"/>
  <c r="A69" i="19"/>
  <c r="G69" i="19" l="1"/>
  <c r="A105" i="19"/>
  <c r="G105" i="19" l="1"/>
  <c r="A109" i="19"/>
  <c r="G109" i="19" l="1"/>
  <c r="A110" i="19"/>
  <c r="G110" i="19" l="1"/>
  <c r="A111" i="19"/>
  <c r="G111" i="19" l="1"/>
  <c r="A113" i="19"/>
  <c r="G113" i="19" l="1"/>
  <c r="A114" i="19"/>
  <c r="G114" i="19" l="1"/>
  <c r="A115" i="19"/>
  <c r="G115" i="19" l="1"/>
  <c r="A116" i="19"/>
  <c r="G116" i="19" l="1"/>
  <c r="A119" i="19"/>
  <c r="G119" i="19" l="1"/>
  <c r="A120" i="19"/>
  <c r="G120" i="19" l="1"/>
  <c r="A121" i="19"/>
  <c r="G121" i="19" l="1"/>
  <c r="A123" i="19"/>
  <c r="G123" i="19" l="1"/>
  <c r="A125" i="19"/>
  <c r="G125" i="19" l="1"/>
  <c r="A126" i="19"/>
  <c r="G126" i="19" l="1"/>
  <c r="A127" i="19"/>
  <c r="G127" i="19" s="1"/>
  <c r="G25" i="15"/>
  <c r="A27" i="15"/>
  <c r="A28" i="15" s="1"/>
  <c r="G28" i="15" s="1"/>
  <c r="A29" i="15" l="1"/>
  <c r="G29" i="15" s="1"/>
  <c r="G27" i="15"/>
  <c r="A30" i="15" l="1"/>
  <c r="G30" i="15" s="1"/>
  <c r="A34" i="15" l="1"/>
  <c r="G34" i="15" s="1"/>
  <c r="A35" i="15" l="1"/>
  <c r="G35" i="15" s="1"/>
  <c r="A36" i="15" l="1"/>
  <c r="A38" i="15" l="1"/>
  <c r="G38" i="15" s="1"/>
  <c r="G36" i="15"/>
  <c r="A39" i="15" l="1"/>
  <c r="G39" i="15" s="1"/>
  <c r="A40" i="15"/>
  <c r="G40" i="15" s="1"/>
  <c r="A42" i="15" l="1"/>
  <c r="A44" i="15" l="1"/>
  <c r="G44" i="15" s="1"/>
  <c r="G42" i="15"/>
  <c r="A46" i="15" l="1"/>
  <c r="G46" i="15" s="1"/>
  <c r="A47" i="15"/>
  <c r="G47" i="15" s="1"/>
  <c r="A53" i="15" l="1"/>
  <c r="G53" i="15" s="1"/>
  <c r="A54" i="15" l="1"/>
  <c r="G54" i="15" s="1"/>
  <c r="A55" i="15" l="1"/>
  <c r="G55" i="15" s="1"/>
  <c r="A57" i="15" l="1"/>
  <c r="G57" i="15" s="1"/>
  <c r="A58" i="15" l="1"/>
  <c r="G58" i="15" s="1"/>
  <c r="A59" i="15" l="1"/>
  <c r="G59" i="15" s="1"/>
  <c r="A61" i="15" l="1"/>
  <c r="G61" i="15" s="1"/>
  <c r="A63" i="15" l="1"/>
  <c r="G63" i="15" s="1"/>
  <c r="A64" i="15" l="1"/>
  <c r="G64" i="15" s="1"/>
  <c r="A65" i="15" l="1"/>
  <c r="G65" i="15" s="1"/>
  <c r="A67" i="15" l="1"/>
  <c r="A69" i="15" s="1"/>
  <c r="G69" i="15" s="1"/>
  <c r="G67" i="15" l="1"/>
  <c r="A70" i="15"/>
  <c r="A71" i="15" s="1"/>
  <c r="G71" i="15" s="1"/>
  <c r="G70" i="15" l="1"/>
  <c r="G21" i="13"/>
  <c r="A23" i="13"/>
  <c r="G23" i="13" s="1"/>
  <c r="A24" i="13"/>
  <c r="G24" i="13" s="1"/>
  <c r="A25" i="13" l="1"/>
  <c r="A26" i="13" s="1"/>
  <c r="G26" i="13" s="1"/>
  <c r="G25" i="13" l="1"/>
  <c r="A30" i="13"/>
  <c r="G30" i="13" l="1"/>
  <c r="A31" i="13"/>
  <c r="G31" i="13" s="1"/>
  <c r="A32" i="13" l="1"/>
  <c r="G32" i="13" l="1"/>
  <c r="A36" i="13"/>
  <c r="G36" i="13" l="1"/>
  <c r="A37" i="13"/>
  <c r="G37" i="13" l="1"/>
  <c r="A39" i="13"/>
  <c r="G39" i="13" l="1"/>
  <c r="A40" i="13"/>
  <c r="G40" i="13" l="1"/>
  <c r="A41" i="13"/>
  <c r="G41" i="13" l="1"/>
  <c r="A42" i="13"/>
  <c r="G42" i="13" l="1"/>
  <c r="A44" i="13"/>
  <c r="G44" i="13" l="1"/>
  <c r="A45" i="13"/>
  <c r="G45" i="13" l="1"/>
  <c r="A46" i="13"/>
  <c r="G46" i="13" s="1"/>
</calcChain>
</file>

<file path=xl/sharedStrings.xml><?xml version="1.0" encoding="utf-8"?>
<sst xmlns="http://schemas.openxmlformats.org/spreadsheetml/2006/main" count="3126" uniqueCount="1035">
  <si>
    <t>Beregningsforutsetninger</t>
  </si>
  <si>
    <t>Tiltak</t>
  </si>
  <si>
    <t>Strekningslengde</t>
  </si>
  <si>
    <t>Trafikkmengde</t>
  </si>
  <si>
    <t>ÅDT</t>
  </si>
  <si>
    <t>Beregning av tiltakets nytte</t>
  </si>
  <si>
    <t>Beregning av nettonytte / nyttekostnadsforhold</t>
  </si>
  <si>
    <t>Analyseperiode (tiltakets levetid)</t>
  </si>
  <si>
    <t>Kalkulasjonsrente</t>
  </si>
  <si>
    <t>Normal skadekostnad</t>
  </si>
  <si>
    <t>År</t>
  </si>
  <si>
    <t>Beregning av tiltakets kostnad</t>
  </si>
  <si>
    <t>Nettonytte</t>
  </si>
  <si>
    <t>Nyttekostnadsforhold</t>
  </si>
  <si>
    <t>Nettonytte per budsjettkrone</t>
  </si>
  <si>
    <t>Møtefrie veger</t>
  </si>
  <si>
    <t>Vegtype</t>
  </si>
  <si>
    <t>Køvarsling</t>
  </si>
  <si>
    <t>Informasjon og varsling om hendelser, vær- og kjøreforhold</t>
  </si>
  <si>
    <t>Fartsmålingstavler</t>
  </si>
  <si>
    <t>Varsel for gang og sykkel ved gangfelt</t>
  </si>
  <si>
    <t>Sanntidsinformasjon om kollektivtrafikk</t>
  </si>
  <si>
    <t>Tiltak som styrer trafikken</t>
  </si>
  <si>
    <t>Variable fartsgrenser</t>
  </si>
  <si>
    <t>Tilfartskontroll</t>
  </si>
  <si>
    <t>Tiltak for å overvåke trafikken</t>
  </si>
  <si>
    <t>Automatisk trafikkontroll (ATK) - Punkt-ATK</t>
  </si>
  <si>
    <t>Automatisk trafikkontroll (ATK) - Streknings-ATK</t>
  </si>
  <si>
    <t xml:space="preserve"> - tilbakemelding av fart</t>
  </si>
  <si>
    <t>Tiltak som informerer og varsler trafikantene</t>
  </si>
  <si>
    <t>Regneark</t>
  </si>
  <si>
    <t xml:space="preserve">4-felt 90 eller 100 km/t </t>
  </si>
  <si>
    <t>2-/3-felt, midtrekkv., 80 eller 90 km/t</t>
  </si>
  <si>
    <t>90 km/t (alle ÅDT)</t>
  </si>
  <si>
    <t>70 km/t (alle ÅDT)</t>
  </si>
  <si>
    <t>60 km/t (alle ÅDT)</t>
  </si>
  <si>
    <t>50 km/t (alle ÅDT)</t>
  </si>
  <si>
    <t xml:space="preserve">80 km/t, ÅDT &gt; 8.000 </t>
  </si>
  <si>
    <t>80 km/t, ÅDT 4.000-8.000</t>
  </si>
  <si>
    <t>80 km/t, ÅDT 2.000-4.000</t>
  </si>
  <si>
    <t>80 km/t, ÅDT &lt; 2.000</t>
  </si>
  <si>
    <t xml:space="preserve"> - variabel fartsgrense i vegarbeidsområde</t>
  </si>
  <si>
    <t xml:space="preserve"> - anbefalt fart  i vegarbeidsområde</t>
  </si>
  <si>
    <t>Meter</t>
  </si>
  <si>
    <t>År (standard: 10 år)</t>
  </si>
  <si>
    <t>reisetid normal</t>
  </si>
  <si>
    <t>Trafikkvekst</t>
  </si>
  <si>
    <t>Antall år</t>
  </si>
  <si>
    <t>med økt trafikkvekst</t>
  </si>
  <si>
    <t>Annuitetsfaktor for beregning av nåverdi</t>
  </si>
  <si>
    <t>Annuitet med trafikkvekst</t>
  </si>
  <si>
    <t>Rel. trafikkmengde (1 i år 0)</t>
  </si>
  <si>
    <t>Nettonytte delt på kostnadene (nåverdi, inkl. skattefaktor)</t>
  </si>
  <si>
    <t>TS-effekt per mill. kroner</t>
  </si>
  <si>
    <t>Beste anslag</t>
  </si>
  <si>
    <t>Skattefaktor</t>
  </si>
  <si>
    <t>rad skjules</t>
  </si>
  <si>
    <t>lysegrått området skjules</t>
  </si>
  <si>
    <t>Annuitetsfaktor</t>
  </si>
  <si>
    <t>Investeringskostnader</t>
  </si>
  <si>
    <t>Alle kostnader</t>
  </si>
  <si>
    <t>Prosent</t>
  </si>
  <si>
    <t>Norge</t>
  </si>
  <si>
    <t>D</t>
  </si>
  <si>
    <t>HS</t>
  </si>
  <si>
    <t>LS</t>
  </si>
  <si>
    <t>Fotgjenger, reisetid</t>
  </si>
  <si>
    <t>Fotgjenger, ventetid</t>
  </si>
  <si>
    <t>km</t>
  </si>
  <si>
    <t>Kr. per time, alle personer i bilen</t>
  </si>
  <si>
    <t>Personbil, reisetid</t>
  </si>
  <si>
    <t>Kr. per time, alle personer påbussen</t>
  </si>
  <si>
    <t>Buss, reisetid</t>
  </si>
  <si>
    <t>Tunge kjøretøy (godstransport)</t>
  </si>
  <si>
    <t>Kr. per time (inkl. fører, last og kjøretøy)</t>
  </si>
  <si>
    <t>Kr. per time</t>
  </si>
  <si>
    <t>Alle</t>
  </si>
  <si>
    <t>Tiltaket</t>
  </si>
  <si>
    <t>Vegen</t>
  </si>
  <si>
    <t>Tungbilandel</t>
  </si>
  <si>
    <t>Fartsendring A</t>
  </si>
  <si>
    <t>Fartsendring B</t>
  </si>
  <si>
    <t>Fartsendring C</t>
  </si>
  <si>
    <t>Endring av reisetiden A</t>
  </si>
  <si>
    <t>Endring av reisetiden B</t>
  </si>
  <si>
    <t>Endring av reisetiden C</t>
  </si>
  <si>
    <t>min</t>
  </si>
  <si>
    <t>maks</t>
  </si>
  <si>
    <t>pos. = ØKT reisetid</t>
  </si>
  <si>
    <t>Fartsendring A rad skjules</t>
  </si>
  <si>
    <t>Fartsendring B rad skjules</t>
  </si>
  <si>
    <t>Fartsendring C rad skjules</t>
  </si>
  <si>
    <t>Nedre gr.</t>
  </si>
  <si>
    <t>Øvre gr.</t>
  </si>
  <si>
    <t>Rutebussandel</t>
  </si>
  <si>
    <t>Gjennomsnittlig (normal) skadekostnad (kr. per kjøretøykilometer; avhengig av valgt vegtype)</t>
  </si>
  <si>
    <t>Tiltaksvarianter (informasjon A, B og C som kan vises)</t>
  </si>
  <si>
    <t>Tiltaket forutsettes installert i begge kjøreretningene; skal det installeres i  én kjøreretning må ÅDT delt på 2 oppgis</t>
  </si>
  <si>
    <t>Nytte fremk. (A)</t>
  </si>
  <si>
    <t>Nytte fremk. (B)</t>
  </si>
  <si>
    <t>Nytte fremk. (C)</t>
  </si>
  <si>
    <t>Nytte fremk. (sum)</t>
  </si>
  <si>
    <t>Nytte TS (A)</t>
  </si>
  <si>
    <t>Nytte TS (B)</t>
  </si>
  <si>
    <t>Nytte TS (C)</t>
  </si>
  <si>
    <t>Nytte TS (sum)</t>
  </si>
  <si>
    <t>Gjennomsnittsfart (A)</t>
  </si>
  <si>
    <t>Gjennomsnittsfart (B)</t>
  </si>
  <si>
    <t>Gjennomsnittsfart (C)</t>
  </si>
  <si>
    <t>Andel av ÅDT (A)</t>
  </si>
  <si>
    <t>Andel av ÅDT (C)</t>
  </si>
  <si>
    <t>Andel av ÅDT (B)</t>
  </si>
  <si>
    <t>Virkningen på fart</t>
  </si>
  <si>
    <t>Drifts-/vedlikeholdskost.</t>
  </si>
  <si>
    <t>Alle kostnader med skattefa.</t>
  </si>
  <si>
    <t>Km/t</t>
  </si>
  <si>
    <t>Beregnet som funksjon av analyseperiode og kalkulasjonsrente; brukes til beregning av nåverdi</t>
  </si>
  <si>
    <t>Nytte-kostnadsberegninger</t>
  </si>
  <si>
    <t>Beskrivelse av tiltaket</t>
  </si>
  <si>
    <t>Andel tunge kjøretøy (godstransport)</t>
  </si>
  <si>
    <t>Andel rutebusser</t>
  </si>
  <si>
    <t>Forventet årlig trafikkvekst (0 hvis trafikkmengden antas å være konstant)</t>
  </si>
  <si>
    <t>20-22</t>
  </si>
  <si>
    <t>Skadekostnader</t>
  </si>
  <si>
    <t>1 = normal skadekostnad</t>
  </si>
  <si>
    <t>Nytte for trafikksikkerhet</t>
  </si>
  <si>
    <t>Nytte for fremkommeligheten</t>
  </si>
  <si>
    <r>
      <rPr>
        <u/>
        <sz val="11"/>
        <color theme="1"/>
        <rFont val="Calibri"/>
        <family val="2"/>
        <scheme val="minor"/>
      </rPr>
      <t>Installasjonskostnader</t>
    </r>
    <r>
      <rPr>
        <sz val="11"/>
        <color theme="1"/>
        <rFont val="Calibri"/>
        <family val="2"/>
        <scheme val="minor"/>
      </rPr>
      <t xml:space="preserve"> omfatter alle kostnadene som oppstår til skiltene er satt opp og tatt i drift. </t>
    </r>
    <r>
      <rPr>
        <u/>
        <sz val="11"/>
        <color theme="1"/>
        <rFont val="Calibri"/>
        <family val="2"/>
        <scheme val="minor"/>
      </rPr>
      <t xml:space="preserve">Årlig drift </t>
    </r>
    <r>
      <rPr>
        <sz val="11"/>
        <color theme="1"/>
        <rFont val="Calibri"/>
        <family val="2"/>
        <scheme val="minor"/>
      </rPr>
      <t xml:space="preserve">omfatter alle kostnader som påløper per år (kostnader som påløper i andre intervaller må omregnes til årlige kostnader). </t>
    </r>
    <r>
      <rPr>
        <u/>
        <sz val="11"/>
        <color theme="1"/>
        <rFont val="Calibri"/>
        <family val="2"/>
        <scheme val="minor"/>
      </rPr>
      <t>Andre kostnader</t>
    </r>
    <r>
      <rPr>
        <sz val="11"/>
        <color theme="1"/>
        <rFont val="Calibri"/>
        <family val="2"/>
        <scheme val="minor"/>
      </rPr>
      <t xml:space="preserve"> kan spesifiseres f.eks. for tilleggsutstyr (valgfri; hvis kostnadene er spesifisert må også antallet oppgis)</t>
    </r>
  </si>
  <si>
    <t>Kr.</t>
  </si>
  <si>
    <t>Nytte for trafikksikkerheten</t>
  </si>
  <si>
    <t>Nytte for fremkommelighet</t>
  </si>
  <si>
    <t>Kostnader</t>
  </si>
  <si>
    <t>Nytte</t>
  </si>
  <si>
    <t>Nytte-kostnadsvurderinger</t>
  </si>
  <si>
    <t>Oppsummering av nytte-kostnadsvurderingene</t>
  </si>
  <si>
    <t>Tiltak A</t>
  </si>
  <si>
    <t>Tiltak B (valgfri)</t>
  </si>
  <si>
    <t>Tiltak C (valgfri)</t>
  </si>
  <si>
    <t>Gjennomsnittlig endring av reisetiden i minutter per kjøretøy (pos. verdi = økt reisetid) med tiltak A (og ev. B og C). Beregnet basert på gjennomsnittsfart uten tiltak og fartsendring.
Øvre og nedre grense er basert på øvre og nedre grense for fartsendringen (hvis oppgitt).</t>
  </si>
  <si>
    <t>Fartsendring</t>
  </si>
  <si>
    <t>Relativ skadekostnad</t>
  </si>
  <si>
    <t>Relativ skadekostnad A</t>
  </si>
  <si>
    <t>Relativ skadekostnad B</t>
  </si>
  <si>
    <t>Relativ skadekostnad C</t>
  </si>
  <si>
    <t>Kr. per kjt.km</t>
  </si>
  <si>
    <t>0 til -8</t>
  </si>
  <si>
    <t>Informasjon om vegarbeid</t>
  </si>
  <si>
    <t>Fartsgrensepåminnende informasjon</t>
  </si>
  <si>
    <t>Varsel om kjøring mot kjøreretningen</t>
  </si>
  <si>
    <t>Bølge-, skred- og vindvarsling</t>
  </si>
  <si>
    <t>Reisetidsinformasjon</t>
  </si>
  <si>
    <t>Dynamisk parkeringsinformasjon</t>
  </si>
  <si>
    <t>Innfartsparkering med informasjon</t>
  </si>
  <si>
    <t>Sanntidsinformasjon om ferjetrafikk</t>
  </si>
  <si>
    <t>Dynamisk viltvarsling</t>
  </si>
  <si>
    <t>Dynamisk belysning</t>
  </si>
  <si>
    <t>Signalanlegg</t>
  </si>
  <si>
    <t>Kjørefeltsignaler</t>
  </si>
  <si>
    <t>Køprising</t>
  </si>
  <si>
    <t>Overvåking og styring av transport av farlig gods</t>
  </si>
  <si>
    <t>Tunnelovervåking og -styring</t>
  </si>
  <si>
    <t>Automatisk kjøretøykontroll</t>
  </si>
  <si>
    <t xml:space="preserve"> - </t>
  </si>
  <si>
    <t>Nyttekomponenter som skal være med i beregningen av nytten</t>
  </si>
  <si>
    <t>Tiltak B</t>
  </si>
  <si>
    <t>Tiltak C</t>
  </si>
  <si>
    <t>T.sikkerhet</t>
  </si>
  <si>
    <t>Ja</t>
  </si>
  <si>
    <t>Forhold mellom nytte og kostnader (nåverdier; kost. inkl. skattefaktor) (null hvis ingen positiv nytte)</t>
  </si>
  <si>
    <t>Personbiler: Andel diesel</t>
  </si>
  <si>
    <t>Andel av alle personbiler med dieselmotor</t>
  </si>
  <si>
    <t>Var. skilt</t>
  </si>
  <si>
    <t>Sensorer</t>
  </si>
  <si>
    <t>Annet</t>
  </si>
  <si>
    <t>Investeringskostnader (kr.)</t>
  </si>
  <si>
    <t>Årlig drift / vedlikehold (kr.)</t>
  </si>
  <si>
    <t>Antall (stk.)</t>
  </si>
  <si>
    <t>Tiltaket og kostnader</t>
  </si>
  <si>
    <t>Uten tiltak</t>
  </si>
  <si>
    <t>Med tiltak</t>
  </si>
  <si>
    <t>Andel i kø A</t>
  </si>
  <si>
    <t>Andel i tett trafikk A</t>
  </si>
  <si>
    <t>Andel i fritt flytende trafikk A</t>
  </si>
  <si>
    <t>Andel i kø B</t>
  </si>
  <si>
    <t>Andel i tett trafikk B</t>
  </si>
  <si>
    <t>Andel i fritt flytende trafikk B</t>
  </si>
  <si>
    <t>Andel i kø C</t>
  </si>
  <si>
    <t>Andel i tett trafikk C</t>
  </si>
  <si>
    <t>Andel i fritt flytende trafikk C</t>
  </si>
  <si>
    <t>Fart i fritt flytende trafikk A</t>
  </si>
  <si>
    <t>Fart i fritt flytende trafikk B</t>
  </si>
  <si>
    <t>Fart i fritt flytende trafikk C</t>
  </si>
  <si>
    <t>Trafikkflyten</t>
  </si>
  <si>
    <t>Fart uten tiltak</t>
  </si>
  <si>
    <t>Fart med tiltak</t>
  </si>
  <si>
    <t>Sjekk om alt er spesifisert</t>
  </si>
  <si>
    <t>(her kommer feilmeldinger hvis det mangler informasjon)</t>
  </si>
  <si>
    <t>B</t>
  </si>
  <si>
    <t>Nei</t>
  </si>
  <si>
    <t>Fremkomm.</t>
  </si>
  <si>
    <t>C</t>
  </si>
  <si>
    <t>Oransje</t>
  </si>
  <si>
    <t>Spesifisert</t>
  </si>
  <si>
    <t>Må være spesifisert</t>
  </si>
  <si>
    <t>Utslipp av ulike typer kjøretøy i ulike trafikkmiljøer (Hagman et al., 2011)</t>
  </si>
  <si>
    <t>NOx utslipp (g/km)</t>
  </si>
  <si>
    <t>NO2 utslipp (g/km)</t>
  </si>
  <si>
    <t>PM utslipp (g/km)</t>
  </si>
  <si>
    <t>CO2 utslipp (g/km)</t>
  </si>
  <si>
    <t>Gjennomsnittsalder i N i 2011 (OVF, Kjøretøystatistikk 2012)</t>
  </si>
  <si>
    <t>KØ</t>
  </si>
  <si>
    <t>BY</t>
  </si>
  <si>
    <t xml:space="preserve">Landevei </t>
  </si>
  <si>
    <t>Personbiler - bensin</t>
  </si>
  <si>
    <t>1989-1992</t>
  </si>
  <si>
    <t>Euro 0</t>
  </si>
  <si>
    <t>1992-1996</t>
  </si>
  <si>
    <t>Euro 1</t>
  </si>
  <si>
    <t>1996-2000</t>
  </si>
  <si>
    <t>Euro 2</t>
  </si>
  <si>
    <t>2000-2005</t>
  </si>
  <si>
    <t>Euro 3</t>
  </si>
  <si>
    <t>2005-2009</t>
  </si>
  <si>
    <t>Euro 4</t>
  </si>
  <si>
    <t>2009-2014</t>
  </si>
  <si>
    <t>Euro 5</t>
  </si>
  <si>
    <t>2014-</t>
  </si>
  <si>
    <t>Euro 6</t>
  </si>
  <si>
    <t>Personbiler - diesel</t>
  </si>
  <si>
    <t>Bybuss - diesel</t>
  </si>
  <si>
    <t>Euro I</t>
  </si>
  <si>
    <t>Euro II</t>
  </si>
  <si>
    <t>Euro III</t>
  </si>
  <si>
    <t>Euro IV</t>
  </si>
  <si>
    <t>Euro V</t>
  </si>
  <si>
    <t>Euro VI</t>
  </si>
  <si>
    <t>Lastebil, tung</t>
  </si>
  <si>
    <t>Lastebil, lett</t>
  </si>
  <si>
    <t>Miljøberegning køvarsling</t>
  </si>
  <si>
    <t>Rutebusser med diesel</t>
  </si>
  <si>
    <t>Andel av rutebussene med dieselmotor</t>
  </si>
  <si>
    <t>Bybuss - ikke diesel</t>
  </si>
  <si>
    <t>A</t>
  </si>
  <si>
    <t>Andel personbiler</t>
  </si>
  <si>
    <t>Bensin-personbiler</t>
  </si>
  <si>
    <t>Diesel-personbiler</t>
  </si>
  <si>
    <t>Rutebusser uten diesel</t>
  </si>
  <si>
    <t>(andel av rutebussene)</t>
  </si>
  <si>
    <t>(andel av alle)</t>
  </si>
  <si>
    <t>(andel av personbilene)</t>
  </si>
  <si>
    <t>Lette lastebiler skal være inkludert i personbilene</t>
  </si>
  <si>
    <t>MED TILTAK A</t>
  </si>
  <si>
    <t>UTEN TILTAK A</t>
  </si>
  <si>
    <t>Utslipp i gramm</t>
  </si>
  <si>
    <t>Andel av kjøretøykilometerne</t>
  </si>
  <si>
    <t>UTEN TILTAK B</t>
  </si>
  <si>
    <t>MED TILTAK B</t>
  </si>
  <si>
    <t>UTEN TILTAK C</t>
  </si>
  <si>
    <t>MED TILTAK C</t>
  </si>
  <si>
    <t>Kjøretøykilometer mens tiltak A/B/C aktiv</t>
  </si>
  <si>
    <t>Nox</t>
  </si>
  <si>
    <t>NO2</t>
  </si>
  <si>
    <t>PM</t>
  </si>
  <si>
    <t>CO2</t>
  </si>
  <si>
    <t>Utslipp i gramm, alle kjøretøy</t>
  </si>
  <si>
    <t>Område</t>
  </si>
  <si>
    <t>Storby</t>
  </si>
  <si>
    <t>By</t>
  </si>
  <si>
    <t>Annet område</t>
  </si>
  <si>
    <t>Velg fra liste; områdetype påvirker verdsettingen av miljøeffektene</t>
  </si>
  <si>
    <t>Reduksjon av utslipp, alle kjøretøy</t>
  </si>
  <si>
    <t>Nox (kg)</t>
  </si>
  <si>
    <t>NO2 (kg)</t>
  </si>
  <si>
    <t>PM (kg)</t>
  </si>
  <si>
    <t>CO2 (tonn)</t>
  </si>
  <si>
    <t>Verdsetting NORSKE verdier</t>
  </si>
  <si>
    <t>Reduksjon av utslipp, alle kjøretøy, kr.</t>
  </si>
  <si>
    <t>Alle (kr.)</t>
  </si>
  <si>
    <t>KI nedre</t>
  </si>
  <si>
    <t>KI øvre</t>
  </si>
  <si>
    <t>Lande-/motorveg</t>
  </si>
  <si>
    <t>midtrekkverk /</t>
  </si>
  <si>
    <t>midtdeler</t>
  </si>
  <si>
    <t>Veger uten</t>
  </si>
  <si>
    <t>Kilde: Elvik (2009)</t>
  </si>
  <si>
    <t>Potensmodell for beregning av virkningen på ulykker (skadekostnader) ut fra virknignen på fart</t>
  </si>
  <si>
    <t>Kilder: TØI (2009); Halse et al. (2010); Ramjerdi et al. (2010)</t>
  </si>
  <si>
    <t>Kilde: Hagman et al. (2011)</t>
  </si>
  <si>
    <t>Kilde: Høye et al. (2011)</t>
  </si>
  <si>
    <t>Valgt område:</t>
  </si>
  <si>
    <t>Nytte miljø (A)</t>
  </si>
  <si>
    <t>Nytte miljø (B)</t>
  </si>
  <si>
    <t>Nytte miljø (C)</t>
  </si>
  <si>
    <t>Nytte miljø (sum)</t>
  </si>
  <si>
    <t>kr. alle personbiler (per år)</t>
  </si>
  <si>
    <t>kr. alle busser (per år)</t>
  </si>
  <si>
    <t>kr. alle tunge (per år)</t>
  </si>
  <si>
    <t>kr. per personbil per år</t>
  </si>
  <si>
    <t>kr. per buss per år</t>
  </si>
  <si>
    <t>kr. per tungt kjøretøy per år</t>
  </si>
  <si>
    <t>reisetid med tiltak</t>
  </si>
  <si>
    <t>kr. per år</t>
  </si>
  <si>
    <t>Miljø</t>
  </si>
  <si>
    <t>Kø</t>
  </si>
  <si>
    <t>Tett / by</t>
  </si>
  <si>
    <t>Lande-/</t>
  </si>
  <si>
    <t>motorveg</t>
  </si>
  <si>
    <t>Kilde: Hagman et al (2011)</t>
  </si>
  <si>
    <t>Utslipp (g per km)</t>
  </si>
  <si>
    <t>Norge og Sverige</t>
  </si>
  <si>
    <t>Utslipp av Nox, NO2, PM og CO2 i forskjellige kjøresitasjoner (Norge og Sverige)</t>
  </si>
  <si>
    <t>Endring av skadekostnader per kjøretøykm</t>
  </si>
  <si>
    <t>Endring av skadekostnader per år</t>
  </si>
  <si>
    <t>Fart</t>
  </si>
  <si>
    <t>Andel over 120 km/t (A)</t>
  </si>
  <si>
    <t>Andel over 120 km/t (B)</t>
  </si>
  <si>
    <t>Andel over 120 km/t (C)</t>
  </si>
  <si>
    <t>Fart (km/t)</t>
  </si>
  <si>
    <t>Differanse</t>
  </si>
  <si>
    <t>tonn CO2 - de som uten tiltak kjører over 120 km/t</t>
  </si>
  <si>
    <t>Endr. av CO2-utslipp (A)</t>
  </si>
  <si>
    <t>Endr. av CO2-utslipp (B)</t>
  </si>
  <si>
    <t>Endr. av CO2-utslipp (C)</t>
  </si>
  <si>
    <t>Kommentarer</t>
  </si>
  <si>
    <t>Nyttekomponenter som inngår i beregningen av nytten</t>
  </si>
  <si>
    <t>Nytte for miljøet</t>
  </si>
  <si>
    <t>Her kommer feilmeldinger hvis relevant informasjon mangler:</t>
  </si>
  <si>
    <t>Skilt/foto</t>
  </si>
  <si>
    <t>Måleutstyr</t>
  </si>
  <si>
    <t>Kollektivtrafikkprioritering</t>
  </si>
  <si>
    <t>Oversikt over nyttevurderingen</t>
  </si>
  <si>
    <t>Land</t>
  </si>
  <si>
    <t xml:space="preserve">	Analyseperiod</t>
  </si>
  <si>
    <t>Tiltakets kostnader</t>
  </si>
  <si>
    <t>Fartsgrensepåminnende informasjon og fartsmålingstavler</t>
  </si>
  <si>
    <t>MÅ</t>
  </si>
  <si>
    <t>KAN</t>
  </si>
  <si>
    <t>Obligatorisk informasjon for alle tiltak</t>
  </si>
  <si>
    <t>Valgfri informasjon for alle tiltak</t>
  </si>
  <si>
    <t>Som regel ikke</t>
  </si>
  <si>
    <t xml:space="preserve"> - Relativ skadekostnad</t>
  </si>
  <si>
    <t xml:space="preserve"> - Gjennomsnittsfart uten tiltak</t>
  </si>
  <si>
    <t xml:space="preserve"> - Fartsendringen (i prosent) med tiltak A, se veiledende verdier</t>
  </si>
  <si>
    <t>For tiltaksvariant A:</t>
  </si>
  <si>
    <t xml:space="preserve"> - Andel av ÅDT med tiltak aktiv</t>
  </si>
  <si>
    <t>MÅ
(som regel 100)</t>
  </si>
  <si>
    <t>For de tiltaksvariantene (B/C) som er spesifisert:</t>
  </si>
  <si>
    <t>(B/C som regel ikke spes.)</t>
  </si>
  <si>
    <t>(avhengig av tiltak)</t>
  </si>
  <si>
    <t>Obligatorisk / valgfri Informasjon for enkelte tiltak</t>
  </si>
  <si>
    <t>Som regel Ja</t>
  </si>
  <si>
    <t>Som regel Nei</t>
  </si>
  <si>
    <t xml:space="preserve">Nyttekomponenter for tiltak A som skal inngå in beregningene: </t>
  </si>
  <si>
    <t xml:space="preserve"> - Trafikksikkerhet og/eller fremkomm.</t>
  </si>
  <si>
    <t xml:space="preserve"> - Miljø</t>
  </si>
  <si>
    <r>
      <rPr>
        <u/>
        <sz val="11"/>
        <color theme="1"/>
        <rFont val="Calibri"/>
        <family val="2"/>
        <scheme val="minor"/>
      </rPr>
      <t>Investeringskostnader</t>
    </r>
    <r>
      <rPr>
        <sz val="11"/>
        <color theme="1"/>
        <rFont val="Calibri"/>
        <family val="2"/>
        <scheme val="minor"/>
      </rPr>
      <t xml:space="preserve"> omfatter alle kostnadene som oppstår til skiltene / fotoboksene samt sensorer og ev. annet utstyr er satt opp og tatt i drift. </t>
    </r>
    <r>
      <rPr>
        <u/>
        <sz val="11"/>
        <color theme="1"/>
        <rFont val="Calibri"/>
        <family val="2"/>
        <scheme val="minor"/>
      </rPr>
      <t xml:space="preserve">Årlig drift/vedlikehold </t>
    </r>
    <r>
      <rPr>
        <sz val="11"/>
        <color theme="1"/>
        <rFont val="Calibri"/>
        <family val="2"/>
        <scheme val="minor"/>
      </rPr>
      <t xml:space="preserve">omfatter alle kostnader som påløper per år (kostnader som påløper i andre intervaller må omregnes til årlige kostnader). </t>
    </r>
    <r>
      <rPr>
        <u/>
        <sz val="11"/>
        <color theme="1"/>
        <rFont val="Calibri"/>
        <family val="2"/>
        <scheme val="minor"/>
      </rPr>
      <t>Hvis analyseperioden er under ett år</t>
    </r>
    <r>
      <rPr>
        <sz val="11"/>
        <color theme="1"/>
        <rFont val="Calibri"/>
        <family val="2"/>
        <scheme val="minor"/>
      </rPr>
      <t xml:space="preserve"> (f.eks. tiltak i vegarbeidsområder) oppgis kun investeringskostnader.</t>
    </r>
  </si>
  <si>
    <t>Informasjon om vegarbeid (ulike tiltak)*</t>
  </si>
  <si>
    <t>* Prinsipielt kan alle tiltak brukes i vegarbeidsområder. Det gjelder de samme krav til hvilken informasjon som må oppgis som for de respektive tiltakene på vanlig veg. Vær obs på kommentarene under analyseperiode, kostnader og andel ÅDT.</t>
  </si>
  <si>
    <t xml:space="preserve"> - Relativ skadekostnad**</t>
  </si>
  <si>
    <t xml:space="preserve"> - Fartsendringen (i prosent) med tiltak A, se veiledende verdier**</t>
  </si>
  <si>
    <t xml:space="preserve"> - Andel over 120 km/t**</t>
  </si>
  <si>
    <t>MÅ**</t>
  </si>
  <si>
    <t xml:space="preserve">Nyttekomponenter for tiltak B/C som skal inngå in beregningene: </t>
  </si>
  <si>
    <t>Variabel fartsgrense (uten tilleggsinformasjon)***</t>
  </si>
  <si>
    <t>(avh. av tiltak)</t>
  </si>
  <si>
    <r>
      <t xml:space="preserve">Nyttekomponenter som skal være med i beregningen av den samlede samfunnsøkonomiske nytten av tiltaket settes til </t>
    </r>
    <r>
      <rPr>
        <b/>
        <u/>
        <sz val="11"/>
        <color theme="1"/>
        <rFont val="Calibri"/>
        <family val="2"/>
        <scheme val="minor"/>
      </rPr>
      <t>Ja</t>
    </r>
    <r>
      <rPr>
        <sz val="11"/>
        <color theme="1"/>
        <rFont val="Calibri"/>
        <family val="2"/>
        <scheme val="minor"/>
      </rPr>
      <t xml:space="preserve">, de som ikke skal være med settes til </t>
    </r>
    <r>
      <rPr>
        <b/>
        <u/>
        <sz val="11"/>
        <color theme="1"/>
        <rFont val="Calibri"/>
        <family val="2"/>
        <scheme val="minor"/>
      </rPr>
      <t>Nei</t>
    </r>
    <r>
      <rPr>
        <sz val="11"/>
        <color theme="1"/>
        <rFont val="Calibri"/>
        <family val="2"/>
        <scheme val="minor"/>
      </rPr>
      <t xml:space="preserve">. 
</t>
    </r>
    <r>
      <rPr>
        <b/>
        <sz val="11"/>
        <color theme="1"/>
        <rFont val="Calibri"/>
        <family val="2"/>
        <scheme val="minor"/>
      </rPr>
      <t xml:space="preserve">Hvis tiltak B eller C ikke er spesifisert </t>
    </r>
    <r>
      <rPr>
        <sz val="11"/>
        <color theme="1"/>
        <rFont val="Calibri"/>
        <family val="2"/>
        <scheme val="minor"/>
      </rPr>
      <t xml:space="preserve">må alle virkningen for B/C settes til Nei (minst én nyttekomponent for A må være satt til Ja, ellers gjøres ingen analyser).
</t>
    </r>
    <r>
      <rPr>
        <sz val="11"/>
        <color theme="1"/>
        <rFont val="Calibri"/>
        <family val="2"/>
        <scheme val="minor"/>
      </rPr>
      <t>Enkelte nyttekomponenter kan settes til Nei hvis de av ulike grunner ikke skal inngå i nytte-kostnadsvurderingene.</t>
    </r>
  </si>
  <si>
    <r>
      <t xml:space="preserve">Nyttekomponenter som skal være med i beregningen av den samlede samfunnsøkonomiske nytten av tiltaket settes til </t>
    </r>
    <r>
      <rPr>
        <b/>
        <u/>
        <sz val="11"/>
        <color theme="1"/>
        <rFont val="Calibri"/>
        <family val="2"/>
        <scheme val="minor"/>
      </rPr>
      <t>Ja</t>
    </r>
    <r>
      <rPr>
        <sz val="11"/>
        <color theme="1"/>
        <rFont val="Calibri"/>
        <family val="2"/>
        <scheme val="minor"/>
      </rPr>
      <t xml:space="preserve">, de som ikke skal være med settes til </t>
    </r>
    <r>
      <rPr>
        <b/>
        <u/>
        <sz val="11"/>
        <color theme="1"/>
        <rFont val="Calibri"/>
        <family val="2"/>
        <scheme val="minor"/>
      </rPr>
      <t>Nei</t>
    </r>
    <r>
      <rPr>
        <sz val="11"/>
        <color theme="1"/>
        <rFont val="Calibri"/>
        <family val="2"/>
        <scheme val="minor"/>
      </rPr>
      <t xml:space="preserve">. 
</t>
    </r>
    <r>
      <rPr>
        <b/>
        <sz val="11"/>
        <color theme="1"/>
        <rFont val="Calibri"/>
        <family val="2"/>
        <scheme val="minor"/>
      </rPr>
      <t xml:space="preserve">Hvis tiltak B eller C ikke er spesifisert </t>
    </r>
    <r>
      <rPr>
        <sz val="11"/>
        <color theme="1"/>
        <rFont val="Calibri"/>
        <family val="2"/>
        <scheme val="minor"/>
      </rPr>
      <t>må alle virkningen for B/C settes til Nei (minst én nyttekomponent for A må være satt til Ja, ellers gjøres ingen analyser).
For</t>
    </r>
    <r>
      <rPr>
        <b/>
        <sz val="11"/>
        <color theme="1"/>
        <rFont val="Calibri"/>
        <family val="2"/>
        <scheme val="minor"/>
      </rPr>
      <t xml:space="preserve"> </t>
    </r>
    <r>
      <rPr>
        <b/>
        <u/>
        <sz val="11"/>
        <color theme="1"/>
        <rFont val="Calibri"/>
        <family val="2"/>
        <scheme val="minor"/>
      </rPr>
      <t>fartsgrensepåminnende informasjon</t>
    </r>
    <r>
      <rPr>
        <sz val="11"/>
        <color theme="1"/>
        <rFont val="Calibri"/>
        <family val="2"/>
        <scheme val="minor"/>
      </rPr>
      <t xml:space="preserve">, </t>
    </r>
    <r>
      <rPr>
        <b/>
        <u/>
        <sz val="11"/>
        <color theme="1"/>
        <rFont val="Calibri"/>
        <family val="2"/>
        <scheme val="minor"/>
      </rPr>
      <t>fartsmålingstavler</t>
    </r>
    <r>
      <rPr>
        <sz val="11"/>
        <color theme="1"/>
        <rFont val="Calibri"/>
        <family val="2"/>
        <scheme val="minor"/>
      </rPr>
      <t xml:space="preserve">, </t>
    </r>
    <r>
      <rPr>
        <b/>
        <u/>
        <sz val="11"/>
        <color theme="1"/>
        <rFont val="Calibri"/>
        <family val="2"/>
        <scheme val="minor"/>
      </rPr>
      <t>punkt-ATK</t>
    </r>
    <r>
      <rPr>
        <b/>
        <sz val="11"/>
        <color theme="1"/>
        <rFont val="Calibri"/>
        <family val="2"/>
        <scheme val="minor"/>
      </rPr>
      <t xml:space="preserve"> </t>
    </r>
    <r>
      <rPr>
        <sz val="11"/>
        <color theme="1"/>
        <rFont val="Calibri"/>
        <family val="2"/>
        <scheme val="minor"/>
      </rPr>
      <t xml:space="preserve">og </t>
    </r>
    <r>
      <rPr>
        <b/>
        <u/>
        <sz val="11"/>
        <color theme="1"/>
        <rFont val="Calibri"/>
        <family val="2"/>
        <scheme val="minor"/>
      </rPr>
      <t>streknings-ATK</t>
    </r>
    <r>
      <rPr>
        <b/>
        <sz val="11"/>
        <color theme="1"/>
        <rFont val="Calibri"/>
        <family val="2"/>
        <scheme val="minor"/>
      </rPr>
      <t xml:space="preserve"> </t>
    </r>
    <r>
      <rPr>
        <sz val="11"/>
        <color theme="1"/>
        <rFont val="Calibri"/>
        <family val="2"/>
        <scheme val="minor"/>
      </rPr>
      <t>skal B og C som regel settes til Nei. 
Enkelte nyttekomponenter kan settes til Nei hvis de av ulike grunner ikke skal inngå i nytte-kostnadsvurderingene.</t>
    </r>
  </si>
  <si>
    <t>Fartsfordeling: kjøresituasjoner</t>
  </si>
  <si>
    <t>&gt; 0</t>
  </si>
  <si>
    <t>Valgt område brukes i nytte-kostnads-beregningene!</t>
  </si>
  <si>
    <t>Beregningsforutsetningene som er definert i regnearket for køvarsling:</t>
  </si>
  <si>
    <t>Skadekostnad påkj. bakfra (A)</t>
  </si>
  <si>
    <t>Skadekostnad påkj. bakfra (B)</t>
  </si>
  <si>
    <t>Skadekostnad påkj. bakfra (C)</t>
  </si>
  <si>
    <t>Andelen som kjører i kø</t>
  </si>
  <si>
    <t>Andelen ulykker med påkjøring bakfra</t>
  </si>
  <si>
    <t xml:space="preserve">Skadekostnadene som oppstår i forbindelse med påkjøring bakfra. Defineres ut fra normale skadekostnader og andelen som kjører i kø; hvis andelen som kjører i kø ikke er spesifisert brukes normale skadekostnader. </t>
  </si>
  <si>
    <t>Relative skadekostnader</t>
  </si>
  <si>
    <t>Andelen av alle ulykker</t>
  </si>
  <si>
    <t>Andelen av normale skadekostnader i forbindelse med påkjøring bakfra</t>
  </si>
  <si>
    <t>Andelen av justerte skadekostnader i forbindelse med påkjøring bakfra</t>
  </si>
  <si>
    <t>Virkning på ulykker</t>
  </si>
  <si>
    <t>… med påkjøring bakfra</t>
  </si>
  <si>
    <t>(oppgi annen verdi her)</t>
  </si>
  <si>
    <t>Sanntidsinformasjon om kollektivtrafikk:</t>
  </si>
  <si>
    <t>Utstyr i kjøretøyet</t>
  </si>
  <si>
    <t>Sentral-utstyr</t>
  </si>
  <si>
    <t>Informasj.-
tavle på holdeplass</t>
  </si>
  <si>
    <t>Levetid i antall år</t>
  </si>
  <si>
    <t>Passasjerer</t>
  </si>
  <si>
    <t>Antall passasjerer per år på holdeplasser med sanntidsinformasjon</t>
  </si>
  <si>
    <t>Antall passasjerer per år</t>
  </si>
  <si>
    <t>Årlig passasjernytte</t>
  </si>
  <si>
    <t>Passasjernytte</t>
  </si>
  <si>
    <t>Verdsetting</t>
  </si>
  <si>
    <t>Passasjervekst</t>
  </si>
  <si>
    <t>Forventet årlig endring av antall passasjerer i prosent (0 hvis antall passasjerer antas å være konstant)</t>
  </si>
  <si>
    <t>Nåverdi av investeringskostnader inkl. restverdi</t>
  </si>
  <si>
    <t>Nåverdi av årlige drift-/vedlikeholdskostnader</t>
  </si>
  <si>
    <t>Nåverdi av alle kostnader, inkl. restverdi</t>
  </si>
  <si>
    <t>Nåverdi av alle kostnader, inkl. restverdi og skattefaktor</t>
  </si>
  <si>
    <t>Drifts- og vedlikeholdskostn.</t>
  </si>
  <si>
    <t>Nåverdi</t>
  </si>
  <si>
    <t>Nåverdi av passasjernyttenover hele analyseperioden</t>
  </si>
  <si>
    <t>Årlige kostnader (kostnader som påløper i andre intervaller må omregnes til årlige kostnader)</t>
  </si>
  <si>
    <t>Kostnadene som oppstår til tiltaket er installert og tatt i drift</t>
  </si>
  <si>
    <t>Analyseperiode</t>
  </si>
  <si>
    <t>Mellom 0 og 25 år; kan settes til en verdi under 1 for kortsiktige tiltak (for eksempel i vegarbeidsområder)</t>
  </si>
  <si>
    <r>
      <t>Andelen av trafikkmengden på vegen når tiltaket (A/B/C) skal være aktiv. Gjelder all trafikk gjennom hele året (eller i analyseperioden hvis denne er under ett år).</t>
    </r>
    <r>
      <rPr>
        <sz val="11"/>
        <color theme="1"/>
        <rFont val="Calibri"/>
        <family val="2"/>
        <scheme val="minor"/>
      </rPr>
      <t xml:space="preserve"> </t>
    </r>
  </si>
  <si>
    <t>Mellom 0 og 25 år</t>
  </si>
  <si>
    <t>Antall informasjonstavler / utstyrsenheter</t>
  </si>
  <si>
    <t>Standard: 12 år for informasjonstavle på holdeplass, 7 år for utstyr i kjøreøty og sentralutstyr</t>
  </si>
  <si>
    <t>Kollektivtrafikkprioritering i lyskryss:</t>
  </si>
  <si>
    <t>År (standard: 15 år)</t>
  </si>
  <si>
    <t>Antall enheter</t>
  </si>
  <si>
    <t>Standard: 15 år</t>
  </si>
  <si>
    <t>Antall passasjerer per år som passerer kryss med signalprioritering</t>
  </si>
  <si>
    <t>Øvrig trafikk</t>
  </si>
  <si>
    <t>Tidsbesparelse per avgang</t>
  </si>
  <si>
    <t>Sekunder</t>
  </si>
  <si>
    <t>Tidsbesparelse per avgang (buss eller trikk som passerer krysset)</t>
  </si>
  <si>
    <t>Gjelder år 1 hvis passasjerveksten ikke er null</t>
  </si>
  <si>
    <t>Verdsetting reisetid</t>
  </si>
  <si>
    <t>Antall avganger per år</t>
  </si>
  <si>
    <t>Avganger</t>
  </si>
  <si>
    <t>Antall avganger (busser / trikker) som passerer krysset per år</t>
  </si>
  <si>
    <t>Årlig operatørnytte</t>
  </si>
  <si>
    <t>Operatørkostnad</t>
  </si>
  <si>
    <t>Operatørnytte</t>
  </si>
  <si>
    <t>Kr. per min.</t>
  </si>
  <si>
    <t>Årlig nytte for øvrig trafikk</t>
  </si>
  <si>
    <t>kollektiv</t>
  </si>
  <si>
    <t>biler</t>
  </si>
  <si>
    <t>Kollektiv</t>
  </si>
  <si>
    <t>Annen trafikk</t>
  </si>
  <si>
    <t>Passasjernytte, nåverdi</t>
  </si>
  <si>
    <t>Operatørnytte, nåverdi</t>
  </si>
  <si>
    <t>Øvrig trafikantnytte, nåverdi</t>
  </si>
  <si>
    <t>Nåverdi over hele analyseperioden</t>
  </si>
  <si>
    <t>Nåverdi av alle nyttekomponentene over hele analyseperioden</t>
  </si>
  <si>
    <t>Alle, nåverdi</t>
  </si>
  <si>
    <t xml:space="preserve">Kjøretøy- og forsinkelseskalkulator </t>
  </si>
  <si>
    <t>Kjøretøy per sekund</t>
  </si>
  <si>
    <t>Kjøretøy</t>
  </si>
  <si>
    <t>ÅDT på veg 1</t>
  </si>
  <si>
    <t>ÅDT på veg 2</t>
  </si>
  <si>
    <t xml:space="preserve">Gjennomsnittlige antall kjøretøy (uten busser/trikker med kollektivtrafikkprioritering) som kjører gjennom krysset per sekund </t>
  </si>
  <si>
    <t>Antall kjøretøy per avgang</t>
  </si>
  <si>
    <t>Forsinkelse per kjøretøy</t>
  </si>
  <si>
    <t>Gjennomsnittlig antall kjøretøy som blir forsinket per avgang (buss/trikk) som prioriteres av signalanlegget.</t>
  </si>
  <si>
    <t>Verdsetting reisetid per kjt. personbiler</t>
  </si>
  <si>
    <t>Verdsetting reisetid per kjt. tunge kjøretøy</t>
  </si>
  <si>
    <t>Verdsetting reisetid per kjøretøy</t>
  </si>
  <si>
    <t>Gjelder kun år 1 hvis trafikkveksten ikke er null</t>
  </si>
  <si>
    <t>Gjelder kun år 1 hvis passasjerveksten ikke er null</t>
  </si>
  <si>
    <t>Veiledende verdier</t>
  </si>
  <si>
    <t>Tilfartskontroll:</t>
  </si>
  <si>
    <t>Trafikkmengde på motorvegen / hovedvegen</t>
  </si>
  <si>
    <t>Virkning på antall ulykker</t>
  </si>
  <si>
    <t>Miljøberegning tilfartskontroll</t>
  </si>
  <si>
    <t>Beregningsforutsetningene som er definert i regnearket for tilfartskontroll:</t>
  </si>
  <si>
    <t>Prosentvis reduksjon av utslipp, alle kjøretøy</t>
  </si>
  <si>
    <t>Prosentvis endring av utslipp av Nox, PM og CO2 med tiltaksvariantene A, B og C.</t>
  </si>
  <si>
    <t>Endring av utslipp (A)</t>
  </si>
  <si>
    <t>Endring av utslipp (B)</t>
  </si>
  <si>
    <t>Endring av utslipp (C)</t>
  </si>
  <si>
    <t>Kilde: beregnet ut fra ulykkesdata 2006-2011 i Norge (SSB) og skadekostnader (Veisten m.fl., 2010)</t>
  </si>
  <si>
    <t>Generelle forutsetninger</t>
  </si>
  <si>
    <t xml:space="preserve">Ulykkeskostnader  per skadetilfelle etter skadegrad </t>
  </si>
  <si>
    <t>Kilde: Veisten et al. (2010)</t>
  </si>
  <si>
    <t>Drept</t>
  </si>
  <si>
    <t>Meget alvorlig skadd</t>
  </si>
  <si>
    <t>Alvorlig skadd</t>
  </si>
  <si>
    <t>Hardt skadd (meget alvorlig / alvorlig)</t>
  </si>
  <si>
    <t>Lettere skadd</t>
  </si>
  <si>
    <t>Gjennomsnittlig personskade</t>
  </si>
  <si>
    <t>Normale skadekostnader for ulike vegtyper</t>
  </si>
  <si>
    <t>Drepte</t>
  </si>
  <si>
    <t>Hardt skadde</t>
  </si>
  <si>
    <t>Lettere skadde</t>
  </si>
  <si>
    <t>Landeveg / motorveg</t>
  </si>
  <si>
    <t>Lande-/motorveg eller by (brukes for å velge eksponentene i potensmodellen)</t>
  </si>
  <si>
    <t>Andel av skako</t>
  </si>
  <si>
    <t>Skako</t>
  </si>
  <si>
    <t>Andel</t>
  </si>
  <si>
    <t>Andel av skader</t>
  </si>
  <si>
    <t>Skako per skade</t>
  </si>
  <si>
    <t>Endringer A</t>
  </si>
  <si>
    <t>Endringer B</t>
  </si>
  <si>
    <t>Endringer C</t>
  </si>
  <si>
    <t>ALLE</t>
  </si>
  <si>
    <t>Verdsetting av reisetid</t>
  </si>
  <si>
    <t>Verdsetting av miljøeffekter</t>
  </si>
  <si>
    <t>(må være sortert alfabetisk)</t>
  </si>
  <si>
    <t>50 / 70 km/t; ved fotoboks</t>
  </si>
  <si>
    <t>90 km/t; ved fotoboks</t>
  </si>
  <si>
    <t>50 km/t mellom fotoboksene</t>
  </si>
  <si>
    <t>70 km/t mellom fotoboksene</t>
  </si>
  <si>
    <t>90 km/t mellom fotoboksene</t>
  </si>
  <si>
    <t>Andel av rutebussene som har dieselmotor (ikke andel av all trafikk) - brukes kun i beregningen av miljøeffekt</t>
  </si>
  <si>
    <t>Andel rutebusser - brukes i beregningen av miljø- og fremkommelighetseffektene</t>
  </si>
  <si>
    <t>Andel tunge kjøretøy (godstransport)  - brukes i beregningen av miljø- og fremkommelighetseffektene</t>
  </si>
  <si>
    <t>Andel av personbilene med dieselmotor - brukes i beregningen av miljøeffektene</t>
  </si>
  <si>
    <t>Pers.biler på arbeidsreiser</t>
  </si>
  <si>
    <t>Yrkestrafikk</t>
  </si>
  <si>
    <t>Verdsetting av informasjon</t>
  </si>
  <si>
    <t>Verdsetting av informasj.</t>
  </si>
  <si>
    <t>Verd.</t>
  </si>
  <si>
    <t>Informasjon (A)</t>
  </si>
  <si>
    <t>Informasjon (B)</t>
  </si>
  <si>
    <t>Informasjon (C)</t>
  </si>
  <si>
    <t>kr. per år persbil</t>
  </si>
  <si>
    <t>kr. per år yrkestrafikk</t>
  </si>
  <si>
    <t>Informasjon (sum)</t>
  </si>
  <si>
    <t>trenger ant. gule</t>
  </si>
  <si>
    <t>har ant. gule</t>
  </si>
  <si>
    <t>Trafikksikkerhet</t>
  </si>
  <si>
    <t>SJEKK</t>
  </si>
  <si>
    <t>TS</t>
  </si>
  <si>
    <t>MELDING</t>
  </si>
  <si>
    <t>(her kommer feilmeldinger hvis det mangler relevant informasjon)</t>
  </si>
  <si>
    <t>Andel tunge kjøretøy (godstransport); brukes i beregningen av fremkommelighetseffekt</t>
  </si>
  <si>
    <t>Andel rutebusser; brukes i beregningen av fremkommelighetseffekt</t>
  </si>
  <si>
    <t>Fremkomm.
(reisetid)</t>
  </si>
  <si>
    <t>Trafikk-sikkerhet</t>
  </si>
  <si>
    <t>4 Varsel for gang og sykkel ved gangfelt</t>
  </si>
  <si>
    <t>5 Kollektivtrafikkprioritering</t>
  </si>
  <si>
    <t>Skilt</t>
  </si>
  <si>
    <t>Normal ulykkeskostnad</t>
  </si>
  <si>
    <t>Normalt antall ulykker</t>
  </si>
  <si>
    <t>Fotgjengerovergangen og vegen</t>
  </si>
  <si>
    <t>Constant term</t>
  </si>
  <si>
    <t>Ln(road users crossing in marked crossing)</t>
  </si>
  <si>
    <t>Ln(AADT)</t>
  </si>
  <si>
    <t>Road users crossing in marked crossing ∙ AADT</t>
  </si>
  <si>
    <t>Number of legs at crossing location</t>
  </si>
  <si>
    <t>Type of traffic control</t>
  </si>
  <si>
    <t>Percentage crossing outside marked crossing</t>
  </si>
  <si>
    <t>Mean speed of motor vehicles</t>
  </si>
  <si>
    <t>Warrant for marked crossing satisfied</t>
  </si>
  <si>
    <t>Andel som krysser utenfor ov.</t>
  </si>
  <si>
    <t>Konstant</t>
  </si>
  <si>
    <t>Koeff. for beregning av normalt antall fotgjengerpåkjørsler</t>
  </si>
  <si>
    <t>km/t</t>
  </si>
  <si>
    <t>Verdi</t>
  </si>
  <si>
    <t>Fotgjengere</t>
  </si>
  <si>
    <t>0=Nei; 1 = Ja</t>
  </si>
  <si>
    <t>Gangfeltkriterier oppfylt</t>
  </si>
  <si>
    <t>Number of driving lanes at crossing location</t>
  </si>
  <si>
    <t>Antall kjørefelt</t>
  </si>
  <si>
    <t>Kjørefelt</t>
  </si>
  <si>
    <t>Trafikkmengde (ÅDT)</t>
  </si>
  <si>
    <t>Gjenomsnittlig antall skadde / drepte per ulykke i gangfelt</t>
  </si>
  <si>
    <t>Skadekostnader i gangfeltulykker</t>
  </si>
  <si>
    <t>Kilde: Elvik &amp; Sørensen (2013)</t>
  </si>
  <si>
    <t>Gjennomsnittlig antall ulykker i gangfelt per år</t>
  </si>
  <si>
    <t>Fremkommelighet</t>
  </si>
  <si>
    <t>sekunder kryssningstid per fotgjenger</t>
  </si>
  <si>
    <t>Antall ganger en bil blir forsinket</t>
  </si>
  <si>
    <t>Andel tunge kjøretøy</t>
  </si>
  <si>
    <t>Andel tunge kjøretøy (brukes i beregning av fremkommelighetseffekt)</t>
  </si>
  <si>
    <t>Andel rutebusser (brukes i beregning av fremkommelighetseffekt)</t>
  </si>
  <si>
    <t>kjøretøy per sekund i de 18 timer av døgnet hvor man antar at mesteparten av trafikken er på vegen</t>
  </si>
  <si>
    <t>Andel kjøretøy som venter</t>
  </si>
  <si>
    <t>Fotgjengere som venter</t>
  </si>
  <si>
    <t>Sum ventetid alle fotgjengere (min. per år)</t>
  </si>
  <si>
    <t>Andelen av alle fotgjengerne som kommer til gangfeltet når en bil kommer i prosent</t>
  </si>
  <si>
    <t>Andelen av alle kjøretøy som kommer til gangfeltet når en fotgjenger krysser i prosent</t>
  </si>
  <si>
    <t>Ventetid fotgjengere</t>
  </si>
  <si>
    <t>Ventetid kjøretøy</t>
  </si>
  <si>
    <t>Gjennomsnittlig ventetid per fotgjenger for alle fotgjengere i sekunder</t>
  </si>
  <si>
    <t>Gjennomsnittlig ventetid per kjøretøy for alle kjøretøy i sekunder</t>
  </si>
  <si>
    <t>Andelen av alle kjøretøy som faktisk venter i prosent</t>
  </si>
  <si>
    <t>Sum ventetid alle kjøretøy (min. per år)</t>
  </si>
  <si>
    <t>Andel fotgjengere som krysser vegen utenfor gangfeltet i prosent  (brukes i beregning av TS-effekt)</t>
  </si>
  <si>
    <t>Antall kjørefelt (brukes i beregning av TS-effekt)</t>
  </si>
  <si>
    <t>Gjennomsnittsfart på vegen (brukes i beregning av TS-effekt)</t>
  </si>
  <si>
    <t>Hvis gangfeltet oppfyller ganfeltkriteriene 1; ellers 0 (brukes i beregning av TS-effekt)</t>
  </si>
  <si>
    <t>Rel. antall ulykker</t>
  </si>
  <si>
    <t>Relativt antall ulykker</t>
  </si>
  <si>
    <t>1 = normalt antall ulykker</t>
  </si>
  <si>
    <t>nedre</t>
  </si>
  <si>
    <t>øvre</t>
  </si>
  <si>
    <t>Overhodelse av vikeplikt</t>
  </si>
  <si>
    <t>Nytte kjøretøy</t>
  </si>
  <si>
    <t>Andelen fotgjengere som må vente</t>
  </si>
  <si>
    <t>beste</t>
  </si>
  <si>
    <t>Fotgjengere som må vente</t>
  </si>
  <si>
    <t>Ventetid per fotgjenger</t>
  </si>
  <si>
    <t>Nytte fotgjengere</t>
  </si>
  <si>
    <t>Nytte, alle</t>
  </si>
  <si>
    <t>Verdsetting reisetid per kjt. personbiler kr. per min.</t>
  </si>
  <si>
    <t>Verdsetting reisetid per kjt. tunge kjøretøy kr. per min.</t>
  </si>
  <si>
    <t>Verdsetting reisetid per kjt. rutebuss kr. per min.</t>
  </si>
  <si>
    <t>andel</t>
  </si>
  <si>
    <t>Verdsetting reisetid per kjøretøy - ALLE KJØRETØY, kr. per min.</t>
  </si>
  <si>
    <t>Verdsetting ventetid per fotgjenger kr. per min.</t>
  </si>
  <si>
    <t>Endring reisetid alle kjøretøy (min. per år)</t>
  </si>
  <si>
    <t>Endring reisetid alle fotgjengere (min. per år)</t>
  </si>
  <si>
    <t>Annuitet med trafikkvekst - ulykker</t>
  </si>
  <si>
    <t>Rel fotgjengere</t>
  </si>
  <si>
    <t>Trafikkvekst - kjøretøy</t>
  </si>
  <si>
    <t>Annuitet med trafikkvekst - kjøretøy</t>
  </si>
  <si>
    <t>Annuitet med trafikkvekst - fotgjengere</t>
  </si>
  <si>
    <t>trafikkvekst-korrigert annuitetsfaktor for kjøretøy</t>
  </si>
  <si>
    <t>trafikkvekst-korrigert annuitetsfaktor for antall ulykker</t>
  </si>
  <si>
    <t>Forhold mellom nytte og kostnader (nåverdier; kost. inkl. skattefaktor)</t>
  </si>
  <si>
    <t>Nytte fremkomm. - fotgjeng.</t>
  </si>
  <si>
    <t>Nytte fremkomm. - kjøretøy</t>
  </si>
  <si>
    <t>Nytte fremkomm. - alle</t>
  </si>
  <si>
    <t>trafikkvekst-korrigert annuitetsfaktor for fotgjengere</t>
  </si>
  <si>
    <t>Fremkomm.
kjøretøy</t>
  </si>
  <si>
    <t>Fremk.-kjt.</t>
  </si>
  <si>
    <t>Fremk.-fotgj.</t>
  </si>
  <si>
    <t>Forventet årlig trafikkvekst - kjøretøy (0 hvis trafikkmengden antas å være konstant) (valgfri)</t>
  </si>
  <si>
    <t>Fremk./kjt.</t>
  </si>
  <si>
    <t>Fremk./fotgj.</t>
  </si>
  <si>
    <t>Ulykker</t>
  </si>
  <si>
    <t>Kryssende syklister per døgn</t>
  </si>
  <si>
    <t>Syklister</t>
  </si>
  <si>
    <t>Fotgjengere + syklister</t>
  </si>
  <si>
    <t>Syklist, reisetid</t>
  </si>
  <si>
    <t>Syklist, ventetid</t>
  </si>
  <si>
    <t>Verdsetting ventetid per syklist kr. per min.</t>
  </si>
  <si>
    <t>Endring reisetid alle syklister (min. per år)</t>
  </si>
  <si>
    <t>Sum ventetid alle syklister (min. per år)</t>
  </si>
  <si>
    <t>Nytte syklister</t>
  </si>
  <si>
    <t>Fremkomm.
fotgj./sykl.</t>
  </si>
  <si>
    <t>Nytte fremkomm. - syklister</t>
  </si>
  <si>
    <t>Usikkerhet og relevans av nyttevurderingene</t>
  </si>
  <si>
    <t>(ingen virkning)</t>
  </si>
  <si>
    <r>
      <t>Usikkerhet</t>
    </r>
    <r>
      <rPr>
        <b/>
        <i/>
        <sz val="11"/>
        <color theme="1"/>
        <rFont val="Calibri"/>
        <family val="2"/>
        <scheme val="minor"/>
      </rPr>
      <t>: Kunnskapsstatus</t>
    </r>
  </si>
  <si>
    <r>
      <t xml:space="preserve">Nyttekomponenter som skal være med i beregningen av den samlede samfunnsøkonomiske nytten av tiltaket settes til </t>
    </r>
    <r>
      <rPr>
        <b/>
        <u/>
        <sz val="11"/>
        <color theme="1"/>
        <rFont val="Calibri"/>
        <family val="2"/>
        <scheme val="minor"/>
      </rPr>
      <t>Ja</t>
    </r>
    <r>
      <rPr>
        <sz val="11"/>
        <color theme="1"/>
        <rFont val="Calibri"/>
        <family val="2"/>
        <scheme val="minor"/>
      </rPr>
      <t xml:space="preserve">, de som ikke skal være med settes til </t>
    </r>
    <r>
      <rPr>
        <b/>
        <u/>
        <sz val="11"/>
        <color theme="1"/>
        <rFont val="Calibri"/>
        <family val="2"/>
        <scheme val="minor"/>
      </rPr>
      <t>Nei</t>
    </r>
    <r>
      <rPr>
        <sz val="11"/>
        <color theme="1"/>
        <rFont val="Calibri"/>
        <family val="2"/>
        <scheme val="minor"/>
      </rPr>
      <t xml:space="preserve">. 
</t>
    </r>
    <r>
      <rPr>
        <b/>
        <sz val="11"/>
        <color theme="1"/>
        <rFont val="Calibri"/>
        <family val="2"/>
        <scheme val="minor"/>
      </rPr>
      <t xml:space="preserve">Hvis tiltak B eller C ikke er spesifisert </t>
    </r>
    <r>
      <rPr>
        <sz val="11"/>
        <color theme="1"/>
        <rFont val="Calibri"/>
        <family val="2"/>
        <scheme val="minor"/>
      </rPr>
      <t xml:space="preserve">må alle virkningene for B/C settes til </t>
    </r>
    <r>
      <rPr>
        <b/>
        <sz val="11"/>
        <color theme="1"/>
        <rFont val="Calibri"/>
        <family val="2"/>
        <scheme val="minor"/>
      </rPr>
      <t xml:space="preserve">Nei </t>
    </r>
    <r>
      <rPr>
        <sz val="11"/>
        <color theme="1"/>
        <rFont val="Calibri"/>
        <family val="2"/>
        <scheme val="minor"/>
      </rPr>
      <t>(minst én nyttekomponent for A må være satt til Ja, ellers gjøres ingen analyser).
Enkelte nyttekomponenter kan settes til Nei hvis de av ulike grunner ikke skal inngå i nytte-kostnadsvurderingene.</t>
    </r>
  </si>
  <si>
    <t>Relevans</t>
  </si>
  <si>
    <t>Bruksanvisning for verktøy for virkningsberegning av ITS-tiltak</t>
  </si>
  <si>
    <r>
      <t>Utslipp av CO</t>
    </r>
    <r>
      <rPr>
        <b/>
        <vertAlign val="superscript"/>
        <sz val="11"/>
        <color theme="1"/>
        <rFont val="Calibri"/>
        <family val="2"/>
        <scheme val="minor"/>
      </rPr>
      <t>2</t>
    </r>
    <r>
      <rPr>
        <b/>
        <sz val="11"/>
        <color theme="1"/>
        <rFont val="Calibri"/>
        <family val="2"/>
        <scheme val="minor"/>
      </rPr>
      <t xml:space="preserve"> som funksjon av gjennomsnittsfart per kjøretøykilometer (Norge og Sverige)</t>
    </r>
  </si>
  <si>
    <r>
      <t>CO</t>
    </r>
    <r>
      <rPr>
        <b/>
        <vertAlign val="superscript"/>
        <sz val="11"/>
        <color theme="1"/>
        <rFont val="Calibri"/>
        <family val="2"/>
        <scheme val="minor"/>
      </rPr>
      <t>2</t>
    </r>
    <r>
      <rPr>
        <b/>
        <sz val="11"/>
        <color theme="1"/>
        <rFont val="Calibri"/>
        <family val="2"/>
        <scheme val="minor"/>
      </rPr>
      <t xml:space="preserve"> (gramm)</t>
    </r>
  </si>
  <si>
    <t>Kr. per  kjøretøykilometer</t>
  </si>
  <si>
    <t>Skadekostnad per skadegrad (2009-kr.)</t>
  </si>
  <si>
    <t>Beregning av skadekostnader i forbindelse med påkjøring bakfra</t>
  </si>
  <si>
    <t>Kilde: Samstad et al. (2010)</t>
  </si>
  <si>
    <t>Kryssende fotgjeng. per døgn</t>
  </si>
  <si>
    <t>Velg tiltak og regneark</t>
  </si>
  <si>
    <t>Fyll ut regnearket</t>
  </si>
  <si>
    <t>Grå celler viser automatisk beregnede verdier</t>
  </si>
  <si>
    <t>Blå celler viser resultatene</t>
  </si>
  <si>
    <t>Generelt er alle cellene merket med farger som følgende:</t>
  </si>
  <si>
    <t>Bruk veiledende verdier</t>
  </si>
  <si>
    <r>
      <t xml:space="preserve">For regneark </t>
    </r>
    <r>
      <rPr>
        <b/>
        <sz val="11"/>
        <color theme="1"/>
        <rFont val="Calibri"/>
        <family val="2"/>
        <scheme val="minor"/>
      </rPr>
      <t>'1 Fartsregulerende tiltak'</t>
    </r>
    <r>
      <rPr>
        <sz val="11"/>
        <color theme="1"/>
        <rFont val="Calibri"/>
        <family val="2"/>
        <scheme val="minor"/>
      </rPr>
      <t xml:space="preserve"> er det lagd en oversikt i ark '1 Fartsreg. tiltal veiledning' som viser hvilken informasjon som må / ikke må oppgis for ulike typer tiltak som kan vurderes med dette regnearket.</t>
    </r>
  </si>
  <si>
    <t>fra år</t>
  </si>
  <si>
    <t>Til år</t>
  </si>
  <si>
    <t>Indeks</t>
  </si>
  <si>
    <t>Fra år</t>
  </si>
  <si>
    <t>Til år:</t>
  </si>
  <si>
    <t>Originale enhetspriser</t>
  </si>
  <si>
    <t>Enhetsprisene indeksjusteres til år:</t>
  </si>
  <si>
    <t>Priser</t>
  </si>
  <si>
    <t>(hentes fra ark 'Data-beregninger', hvor brukeren må skrive inn til hvilket år prisene skal indeksjusteres)</t>
  </si>
  <si>
    <t>Indeksjustering for beregninger i Norge</t>
  </si>
  <si>
    <t>Rad</t>
  </si>
  <si>
    <t>Fra denne tabellen velges hvilken indeks som skal brukes i regneark 'Data-beregninger'</t>
  </si>
  <si>
    <r>
      <t>CO</t>
    </r>
    <r>
      <rPr>
        <b/>
        <vertAlign val="superscript"/>
        <sz val="11"/>
        <color theme="1"/>
        <rFont val="Calibri"/>
        <family val="2"/>
        <scheme val="minor"/>
      </rPr>
      <t>2</t>
    </r>
    <r>
      <rPr>
        <b/>
        <sz val="11"/>
        <color theme="1"/>
        <rFont val="Calibri"/>
        <family val="2"/>
        <scheme val="minor"/>
      </rPr>
      <t xml:space="preserve"> (tonn)</t>
    </r>
  </si>
  <si>
    <t>Indizes som brukes i beregningene (anleggskostnadsindeks):</t>
  </si>
  <si>
    <t>6 Sanntidsinformasjon om kollektivtrafikk</t>
  </si>
  <si>
    <t>(se ark 'Fartsreg. tiltak veiledning for en oversikt over hvilken informasjon som må / kan oppgis for hvilke typer tiltak)</t>
  </si>
  <si>
    <t>(se også 1 Fartsreg. tiltak veiledning)</t>
  </si>
  <si>
    <r>
      <t xml:space="preserve">Andelen av trafikkmengden på vegen når tiltaket (A/B/C) skal være aktivt. Gjelder all trafikk gjennom hele året (eller i analyseperioden hvis denne er under ett år). 
For </t>
    </r>
    <r>
      <rPr>
        <u/>
        <sz val="11"/>
        <color theme="1"/>
        <rFont val="Calibri"/>
        <family val="2"/>
        <scheme val="minor"/>
      </rPr>
      <t>streknings-ATK</t>
    </r>
    <r>
      <rPr>
        <sz val="11"/>
        <color theme="1"/>
        <rFont val="Calibri"/>
        <family val="2"/>
        <scheme val="minor"/>
      </rPr>
      <t xml:space="preserve"> og </t>
    </r>
    <r>
      <rPr>
        <u/>
        <sz val="11"/>
        <color theme="1"/>
        <rFont val="Calibri"/>
        <family val="2"/>
        <scheme val="minor"/>
      </rPr>
      <t xml:space="preserve">tilbakemelding av fart / fartsvisningstavler </t>
    </r>
    <r>
      <rPr>
        <sz val="11"/>
        <color theme="1"/>
        <rFont val="Calibri"/>
        <family val="2"/>
        <scheme val="minor"/>
      </rPr>
      <t>er andelen (A) som regel 100 prosent.</t>
    </r>
  </si>
  <si>
    <t>Punkt-ATK</t>
  </si>
  <si>
    <t>(1 empirisk studie, usikkert)</t>
  </si>
  <si>
    <t>(Empiriske studier fra Norge)</t>
  </si>
  <si>
    <r>
      <t xml:space="preserve">For </t>
    </r>
    <r>
      <rPr>
        <u/>
        <sz val="11"/>
        <color theme="1"/>
        <rFont val="Calibri"/>
        <family val="2"/>
        <scheme val="minor"/>
      </rPr>
      <t>punkt-ATK</t>
    </r>
    <r>
      <rPr>
        <sz val="11"/>
        <color theme="1"/>
        <rFont val="Calibri"/>
        <family val="2"/>
        <scheme val="minor"/>
      </rPr>
      <t xml:space="preserve"> og </t>
    </r>
    <r>
      <rPr>
        <u/>
        <sz val="11"/>
        <color theme="1"/>
        <rFont val="Calibri"/>
        <family val="2"/>
        <scheme val="minor"/>
      </rPr>
      <t>tilbakemelding fart / fartsvisningstavler</t>
    </r>
    <r>
      <rPr>
        <sz val="11"/>
        <color theme="1"/>
        <rFont val="Calibri"/>
        <family val="2"/>
        <scheme val="minor"/>
      </rPr>
      <t xml:space="preserve">: se </t>
    </r>
    <r>
      <rPr>
        <u/>
        <sz val="11"/>
        <color rgb="FF92D050"/>
        <rFont val="Calibri"/>
        <family val="2"/>
        <scheme val="minor"/>
      </rPr>
      <t>Veiledende verdier</t>
    </r>
    <r>
      <rPr>
        <sz val="11"/>
        <color theme="1"/>
        <rFont val="Calibri"/>
        <family val="2"/>
        <scheme val="minor"/>
      </rPr>
      <t>.</t>
    </r>
  </si>
  <si>
    <t>Dag</t>
  </si>
  <si>
    <t>Natt</t>
  </si>
  <si>
    <t>Kjørefelt stengt</t>
  </si>
  <si>
    <t>Ingen kjørefelt stengt</t>
  </si>
  <si>
    <t>Ikke pågående vegarbeid</t>
  </si>
  <si>
    <t xml:space="preserve">(Empiriske studier; skadekostnader avhenger bl.a. av om kjørefelt er stengt eller ikke og er forskjellige mellom dag og natt; likevel vanskelig å generalisere fordi ulykkesrisiko i vegarbeidsområder varierer mye mellom vegarbeidsområder; for eksempel </t>
  </si>
  <si>
    <t>medfører større vegarbeider som regel en større risikoøkning enn mindre vegarbeider).</t>
  </si>
  <si>
    <t>Km/t, fartsgrensen som vises med tiltak (A, B eller C)</t>
  </si>
  <si>
    <t>Km/t; som oppgitt under 22-24 (uten tiltak)</t>
  </si>
  <si>
    <t>Km/t (beregnet fartsendring i km/t ut fra sammenhengen mellom permanente fartsgrenser og fart)</t>
  </si>
  <si>
    <t>(Empiriske studier; usikre resultater og vanskelige å generalisere)</t>
  </si>
  <si>
    <t>(1 empirisk studie; liten fartsendring fordi farten er uansett redusert under vanskelige kjøreforhold; vanskelig å generalisere)</t>
  </si>
  <si>
    <t>(empiriske studier; mindre virkning enn punkt-ATK; gjelder en strekning på 1 km lengde)</t>
  </si>
  <si>
    <t>Fartsgrense uten tiltak:</t>
  </si>
  <si>
    <t>Fartsgrense med tiltak:</t>
  </si>
  <si>
    <t>Fartsendring:</t>
  </si>
  <si>
    <t>Rel. fartsendring:</t>
  </si>
  <si>
    <t>Endring av gjennomsnittsfarten ut fra endringen av fartsgrensen (gjelder faste fartsgrenser).</t>
  </si>
  <si>
    <t>For punkt-ATK ble det funnet ulike virkninger på gjennomsnittsfarten som gjelder strekninger med ulik lengde. Følgende tabell viser et utvalg av resultatene; for nærmere forklaringer henvises til rapporten.</t>
  </si>
  <si>
    <t>Strekning</t>
  </si>
  <si>
    <t>Uspesifisert</t>
  </si>
  <si>
    <t>70/80 km/t; ca. 3 km</t>
  </si>
  <si>
    <t>(Norsk studie)</t>
  </si>
  <si>
    <t>(Trafikksikkerhetshåndboken; flere internasjonale studier; beregnet ut fra virkningen på personskadeulykker)</t>
  </si>
  <si>
    <t>(Svensk studie; beregnet med potensmodellen ut fra virkningen på antall hardt skadde)</t>
  </si>
  <si>
    <t>(Svensk studie; beregnet med potensmodellen ut fra virkningen på antall drepte)</t>
  </si>
  <si>
    <t>(Svensk studie)</t>
  </si>
  <si>
    <t>alle fartsgrenser; ca. 5,4 km</t>
  </si>
  <si>
    <t>Fartsgr. og streknignslengde</t>
  </si>
  <si>
    <t>Streknings-ATK</t>
  </si>
  <si>
    <t>Tiltak i vegarbeidsområder</t>
  </si>
  <si>
    <t>(avhengig av type tiltak)</t>
  </si>
  <si>
    <r>
      <t>Strekningslengde</t>
    </r>
    <r>
      <rPr>
        <b/>
        <sz val="12"/>
        <color theme="1"/>
        <rFont val="Calibri"/>
        <family val="2"/>
        <scheme val="minor"/>
      </rPr>
      <t xml:space="preserve"> (må alltid oppgis)</t>
    </r>
  </si>
  <si>
    <r>
      <t>Relativ skadekostnad</t>
    </r>
    <r>
      <rPr>
        <b/>
        <sz val="12"/>
        <color theme="1"/>
        <rFont val="Calibri"/>
        <family val="2"/>
        <scheme val="minor"/>
      </rPr>
      <t xml:space="preserve"> (må alltid oppgis)</t>
    </r>
  </si>
  <si>
    <r>
      <t>Virkning på andelen som kjører over 120 km/t</t>
    </r>
    <r>
      <rPr>
        <b/>
        <sz val="12"/>
        <color theme="1"/>
        <rFont val="Calibri"/>
        <family val="2"/>
        <scheme val="minor"/>
      </rPr>
      <t xml:space="preserve"> (brukes i beregningen av miljøeffektene)</t>
    </r>
  </si>
  <si>
    <t>Punkt-ATK:</t>
  </si>
  <si>
    <t>Øvrige tiltak:</t>
  </si>
  <si>
    <t>Tåke:</t>
  </si>
  <si>
    <t>Glatt veg:</t>
  </si>
  <si>
    <t>Vegarbeidsområde:</t>
  </si>
  <si>
    <t>Variabel fartsgrense (40 km/t) i tåke med siktlengde under 200m:</t>
  </si>
  <si>
    <t>Variabel fartsgrense (80 km/t) på veg med fartsgrense 100 km/t under vanskelige kjøreforhold:</t>
  </si>
  <si>
    <t>Fartsgrensepåminnende informasjon og fartsmålingstavler:</t>
  </si>
  <si>
    <t>Streknings-ATK:</t>
  </si>
  <si>
    <t>Fartsgr. 80  km/t, hele strekn.:</t>
  </si>
  <si>
    <t>Fartsgrensepåminnende informasjon / fartsmålingstavler:</t>
  </si>
  <si>
    <t>Tiltak i vegarbeidsområder:</t>
  </si>
  <si>
    <r>
      <t xml:space="preserve">Andelen som kjører over 120 km/t med/uten tiltak brukes i beregningen av miljøeffektene (CO2-utslipp) av </t>
    </r>
    <r>
      <rPr>
        <u/>
        <sz val="11"/>
        <color theme="1"/>
        <rFont val="Calibri"/>
        <family val="2"/>
        <scheme val="minor"/>
      </rPr>
      <t>ATK</t>
    </r>
    <r>
      <rPr>
        <sz val="11"/>
        <color theme="1"/>
        <rFont val="Calibri"/>
        <family val="2"/>
        <scheme val="minor"/>
      </rPr>
      <t xml:space="preserve">. Det forutsettes at de som kjører over 120 km/t uten og under 120 km/t med tiltak, kjører 130 km/t uten og 115 km/t med tiltak. Se </t>
    </r>
    <r>
      <rPr>
        <u/>
        <sz val="11"/>
        <color rgb="FF92D050"/>
        <rFont val="Calibri"/>
        <family val="2"/>
        <scheme val="minor"/>
      </rPr>
      <t>Veiledende verdier</t>
    </r>
    <r>
      <rPr>
        <sz val="11"/>
        <color theme="1"/>
        <rFont val="Calibri"/>
        <family val="2"/>
        <scheme val="minor"/>
      </rPr>
      <t>.</t>
    </r>
  </si>
  <si>
    <t>Punkt- og streknings-ATK:</t>
  </si>
  <si>
    <t>Verd-set.*</t>
  </si>
  <si>
    <t>* Verdsetting av informasjonen</t>
  </si>
  <si>
    <t>Test A</t>
  </si>
  <si>
    <t>Test B</t>
  </si>
  <si>
    <t>Test C</t>
  </si>
  <si>
    <t>Endring av antall ulykker A</t>
  </si>
  <si>
    <t>Endring av antall ulykker B</t>
  </si>
  <si>
    <t>Endring av antall ulykker C</t>
  </si>
  <si>
    <r>
      <rPr>
        <i/>
        <u/>
        <sz val="11"/>
        <color theme="1"/>
        <rFont val="Calibri"/>
        <family val="2"/>
        <scheme val="minor"/>
      </rPr>
      <t>Nedre og øvre grense</t>
    </r>
    <r>
      <rPr>
        <i/>
        <sz val="11"/>
        <color theme="1"/>
        <rFont val="Calibri"/>
        <family val="2"/>
        <scheme val="minor"/>
      </rPr>
      <t xml:space="preserve"> beregnes automatisk basert på de henhodsvis mest pessimistiske (minst fartsreduksjon / størst fartsøkning) og de mest optimistiske (omvendt) antakelsene om virkningen på fart.</t>
    </r>
  </si>
  <si>
    <r>
      <rPr>
        <i/>
        <u/>
        <sz val="11"/>
        <color theme="1"/>
        <rFont val="Calibri"/>
        <family val="2"/>
        <scheme val="minor"/>
      </rPr>
      <t>Nedre og øvre grense</t>
    </r>
    <r>
      <rPr>
        <i/>
        <sz val="11"/>
        <color theme="1"/>
        <rFont val="Calibri"/>
        <family val="2"/>
        <scheme val="minor"/>
      </rPr>
      <t xml:space="preserve"> er basert på de henhodsvis mest pessimistiske (liten nytte) og de mest optimistiske (stor nytte) antakelsene om virkningen på fart og fremkommelighet.</t>
    </r>
  </si>
  <si>
    <t>Endring av CO2-utslipp i tonn. Beregnet ut fra andelen som kjører over 120 km/t med og uten tiltak. Nedre / øvre grense er beregnet ved å redusere / øke den estimerte endringen med 25%.</t>
  </si>
  <si>
    <r>
      <rPr>
        <b/>
        <sz val="11"/>
        <rFont val="Calibri"/>
        <family val="2"/>
        <scheme val="minor"/>
      </rPr>
      <t>De tre kjøresituasjonene (kø, tett, fritt flytende) er definert ut fra sammenhengen mellom kjørestil og utslipp. Verdiene som oppgis her brukes i beregningen av miljø- og fremkommelighetsvirkningen. Se rapporten for mer informasjon.</t>
    </r>
    <r>
      <rPr>
        <sz val="11"/>
        <rFont val="Calibri"/>
        <family val="2"/>
        <scheme val="minor"/>
      </rPr>
      <t xml:space="preserve"> Andelene i de ulike kjøresituasjonene og gjennomsnittsfart i fritt flytende trafikk gjelder de periodene mens tiltak A/B/C er aktiv (A må, B og C kan spesifiseres).</t>
    </r>
    <r>
      <rPr>
        <b/>
        <u/>
        <sz val="11"/>
        <rFont val="Calibri"/>
        <family val="2"/>
        <scheme val="minor"/>
      </rPr>
      <t xml:space="preserve">
</t>
    </r>
    <r>
      <rPr>
        <u/>
        <sz val="11"/>
        <rFont val="Calibri"/>
        <family val="2"/>
        <scheme val="minor"/>
      </rPr>
      <t>Andel i kø</t>
    </r>
    <r>
      <rPr>
        <sz val="11"/>
        <rFont val="Calibri"/>
        <family val="2"/>
        <scheme val="minor"/>
      </rPr>
      <t xml:space="preserve">: Andelen som kjører i kø (13 km/t gjennomsnittsfart) mens tiltak A/B/C er aktiv.
</t>
    </r>
    <r>
      <rPr>
        <u/>
        <sz val="11"/>
        <rFont val="Calibri"/>
        <family val="2"/>
        <scheme val="minor"/>
      </rPr>
      <t>Andel i tett trafikk</t>
    </r>
    <r>
      <rPr>
        <sz val="11"/>
        <rFont val="Calibri"/>
        <family val="2"/>
        <scheme val="minor"/>
      </rPr>
      <t xml:space="preserve">: Andelen som kjører i tett trafikk (30 km/t gjennomsnittsfart) mens tiltak A/B/C er aktiv.
</t>
    </r>
    <r>
      <rPr>
        <u/>
        <sz val="11"/>
        <rFont val="Calibri"/>
        <family val="2"/>
        <scheme val="minor"/>
      </rPr>
      <t>Andel i fritt flytende trafikk</t>
    </r>
    <r>
      <rPr>
        <sz val="11"/>
        <rFont val="Calibri"/>
        <family val="2"/>
        <scheme val="minor"/>
      </rPr>
      <t xml:space="preserve">: Beregnet slik at summen av andelene i kø, tett og fritt flytende trafikk er 100 for hver tiltaksvariant. </t>
    </r>
    <r>
      <rPr>
        <u/>
        <sz val="11"/>
        <rFont val="Calibri"/>
        <family val="2"/>
        <scheme val="minor"/>
      </rPr>
      <t>Gjennomsnittsfart</t>
    </r>
    <r>
      <rPr>
        <sz val="11"/>
        <rFont val="Calibri"/>
        <family val="2"/>
        <scheme val="minor"/>
      </rPr>
      <t xml:space="preserve"> i fritt flytende trafikk oppgis under 26, 30 og 34 (hvordan gjennomsnittsfarten i kø og tett trafikk er definert er beskrevet i rapporten). 
</t>
    </r>
    <r>
      <rPr>
        <b/>
        <u/>
        <sz val="11"/>
        <rFont val="Calibri"/>
        <family val="2"/>
        <scheme val="minor"/>
      </rPr>
      <t>OBS</t>
    </r>
    <r>
      <rPr>
        <sz val="11"/>
        <rFont val="Calibri"/>
        <family val="2"/>
        <scheme val="minor"/>
      </rPr>
      <t xml:space="preserve">: Andelene i de ulike kjøresituasjonene og gjennomsnittsfarten i fritt flytende trafikk må estimeres ut fra erfaringer eller skjønnsmessig. Hvordan verdiene kan estimeres er beskrevet nærmere nedenfor under </t>
    </r>
    <r>
      <rPr>
        <u/>
        <sz val="11"/>
        <color rgb="FF92D050"/>
        <rFont val="Calibri"/>
        <family val="2"/>
        <scheme val="minor"/>
      </rPr>
      <t>Veiledende verdier</t>
    </r>
    <r>
      <rPr>
        <sz val="11"/>
        <rFont val="Calibri"/>
        <family val="2"/>
        <scheme val="minor"/>
      </rPr>
      <t xml:space="preserve"> og i rapporten. </t>
    </r>
  </si>
  <si>
    <t>Oransje celler må alltid fylles ut av brukeren</t>
  </si>
  <si>
    <t>Gule celler kan fylles ut av brukeren (og må i noen tilfeller fylles ut for å gjøre beregninger for enkelte nyttekomponenter)</t>
  </si>
  <si>
    <r>
      <rPr>
        <i/>
        <u/>
        <sz val="11"/>
        <color theme="1"/>
        <rFont val="Calibri"/>
        <family val="2"/>
        <scheme val="minor"/>
      </rPr>
      <t>Nedre og øvre grense</t>
    </r>
    <r>
      <rPr>
        <i/>
        <sz val="11"/>
        <color theme="1"/>
        <rFont val="Calibri"/>
        <family val="2"/>
        <scheme val="minor"/>
      </rPr>
      <t xml:space="preserve"> er basert på de henhodsvis mest pessimistiske (liten nytte) og de mest optimistiske (stor nytte) antakelsene om virkningen på fart og fremkommelighet (ikke konfidensintervall).</t>
    </r>
  </si>
  <si>
    <t>Beste anslag:</t>
  </si>
  <si>
    <t>Nedre grense:</t>
  </si>
  <si>
    <t>Øvre grense:</t>
  </si>
  <si>
    <t>(Empiriske studier; kun to eldre studier, usikkert resultat)</t>
  </si>
  <si>
    <t>Fartsfordeling uten tiltak:</t>
  </si>
  <si>
    <t>Fartsfordeling med tiltak:</t>
  </si>
  <si>
    <t>uendret</t>
  </si>
  <si>
    <t>Prosent endring av gjennomsnittsfarten når tiltaket (A, ev. også B og C) er aktiv, beregnet ut fra de oppgitte verdiene under Trafikkflyten. Øvre / nedre grense for fartsendring er beregnet som beste anslag plus/minus 25%.</t>
  </si>
  <si>
    <t>Trafikantenes verdsetting av reisetidsinformasjon</t>
  </si>
  <si>
    <r>
      <t xml:space="preserve">Andel av alle kjøretøyene som er personbiler på arbeidsreiser / i yrkestrafikk og verdsetting av reisetids- (eller annen) informasjon i kr. per kjøretøy per reise - brukes kun i beregn. av verdsettingen av informasjon.
Se </t>
    </r>
    <r>
      <rPr>
        <u/>
        <sz val="11"/>
        <color rgb="FF92D050"/>
        <rFont val="Calibri"/>
        <family val="2"/>
        <scheme val="minor"/>
      </rPr>
      <t>Veiledende verdier</t>
    </r>
    <r>
      <rPr>
        <sz val="11"/>
        <rFont val="Calibri"/>
        <family val="2"/>
        <scheme val="minor"/>
      </rPr>
      <t>.</t>
    </r>
  </si>
  <si>
    <t>Pers.biler på arbeidsreiser:</t>
  </si>
  <si>
    <t>Yrkestrafikk:</t>
  </si>
  <si>
    <t>kr. per reise</t>
  </si>
  <si>
    <t>Gjennomsnittlig endring av reisetiden i minutter per kjøretøy (pos. verdi = økt reisetid) med tiltak A (og ev. B og C). Beregnet basert på gjennomsnittsfart uten tiltak og fartsendring.
Øvre og nedre grense er basert på øvre og nedre grense for fartsendringen (beste anslag plus/minus 25%).</t>
  </si>
  <si>
    <t>Virkning av køvarsling på antall ulykker med påkjøring bakfra</t>
  </si>
  <si>
    <t>Fartsfordelingen: Andelene som kjører i de tre kjøresituasjonene med og uten køvarsling</t>
  </si>
  <si>
    <t xml:space="preserve"> </t>
  </si>
  <si>
    <t>(må være sortert i alfabetisk rekkefølge)</t>
  </si>
  <si>
    <t>Velg fra liste område / by som passer best; påvirker verdsettingen av miljøeffektene</t>
  </si>
  <si>
    <t>(Empiriske studier; virkningene gjelder egentlig ulykker på motor-/hovedveg og rampe)</t>
  </si>
  <si>
    <t>Oppgis helst ut fra fartsmålinger på den aktuelle strekningen og er avhengig av hvordan tilfartskontroll skal programmeres.</t>
  </si>
  <si>
    <t>Andelene som kjører i kø eller tett trafikk er trolig høyere enn andelen som kjører i fritt flytende trafikk.</t>
  </si>
  <si>
    <t>andel som kjører i kø enn uten tiltak</t>
  </si>
  <si>
    <t>10 prosent høyere</t>
  </si>
  <si>
    <t>andel som kjører i fritt flytende trafikk enn uten tiltak</t>
  </si>
  <si>
    <t>(rent skjønnsmessige anslag / forslag - det foreligger ikke empirisk grunnlag)</t>
  </si>
  <si>
    <t>3 prosent lavere</t>
  </si>
  <si>
    <t>3 prosent høyere</t>
  </si>
  <si>
    <r>
      <t xml:space="preserve">andel som kjører i </t>
    </r>
    <r>
      <rPr>
        <b/>
        <u val="singleAccounting"/>
        <sz val="11"/>
        <color theme="1"/>
        <rFont val="Calibri"/>
        <family val="2"/>
        <scheme val="minor"/>
      </rPr>
      <t>kø</t>
    </r>
    <r>
      <rPr>
        <sz val="11"/>
        <color theme="1"/>
        <rFont val="Calibri"/>
        <family val="2"/>
        <scheme val="minor"/>
      </rPr>
      <t xml:space="preserve"> enn uten tiltak</t>
    </r>
  </si>
  <si>
    <r>
      <t xml:space="preserve">andel som kjører i </t>
    </r>
    <r>
      <rPr>
        <b/>
        <sz val="11"/>
        <color theme="1"/>
        <rFont val="Calibri"/>
        <family val="2"/>
        <scheme val="minor"/>
      </rPr>
      <t xml:space="preserve">tett trafikk </t>
    </r>
    <r>
      <rPr>
        <sz val="11"/>
        <color theme="1"/>
        <rFont val="Calibri"/>
        <family val="2"/>
        <scheme val="minor"/>
      </rPr>
      <t>enn uten tiltak</t>
    </r>
  </si>
  <si>
    <r>
      <t xml:space="preserve">andel som kjører i </t>
    </r>
    <r>
      <rPr>
        <b/>
        <sz val="11"/>
        <color theme="1"/>
        <rFont val="Calibri"/>
        <family val="2"/>
        <scheme val="minor"/>
      </rPr>
      <t xml:space="preserve">fritt flytende trafikk </t>
    </r>
    <r>
      <rPr>
        <sz val="11"/>
        <color theme="1"/>
        <rFont val="Calibri"/>
        <family val="2"/>
        <scheme val="minor"/>
      </rPr>
      <t>enn uten tiltak</t>
    </r>
  </si>
  <si>
    <r>
      <rPr>
        <b/>
        <sz val="11"/>
        <color theme="1"/>
        <rFont val="Calibri"/>
        <family val="2"/>
        <scheme val="minor"/>
      </rPr>
      <t xml:space="preserve">gjennomsnittsfart i fritt flytende trafikk </t>
    </r>
    <r>
      <rPr>
        <sz val="11"/>
        <color theme="1"/>
        <rFont val="Calibri"/>
        <family val="2"/>
        <scheme val="minor"/>
      </rPr>
      <t>med tiltak</t>
    </r>
  </si>
  <si>
    <t>Oppgis helst ut fra fartsmålinger på den aktuelle strekningen og er avhengig av hvordan køvarslingen skal programmeres.</t>
  </si>
  <si>
    <r>
      <t xml:space="preserve">Følgende figur viser skjematisk hvordan nytten beregnes. Orangsje felt er variabler som må spesifiseres av brukeren. Veiledende verdier for </t>
    </r>
    <r>
      <rPr>
        <sz val="11"/>
        <rFont val="Calibri"/>
        <family val="2"/>
        <scheme val="minor"/>
      </rPr>
      <t xml:space="preserve">virkningen på antall ulykker og fartsfordelingen </t>
    </r>
    <r>
      <rPr>
        <sz val="11"/>
        <color theme="1"/>
        <rFont val="Calibri"/>
        <family val="2"/>
        <scheme val="minor"/>
      </rPr>
      <t xml:space="preserve">finnes nedenfor, og i rapporten med mer detalsjerte beskrivelser av grunnlaget for de veiledende verdiene. </t>
    </r>
  </si>
  <si>
    <r>
      <t xml:space="preserve">Følgende figur viser skjematisk hvordan nytten beregnes. Orangsje felt er variabler som må spesifiseres av brukeren. Veiledende verdier for </t>
    </r>
    <r>
      <rPr>
        <sz val="11"/>
        <rFont val="Calibri"/>
        <family val="2"/>
        <scheme val="minor"/>
      </rPr>
      <t xml:space="preserve">virkningen på antall ulykker, fartsfordelingen og trafikantenes verdsetting av reisetidsinformasjon </t>
    </r>
    <r>
      <rPr>
        <sz val="11"/>
        <color theme="1"/>
        <rFont val="Calibri"/>
        <family val="2"/>
        <scheme val="minor"/>
      </rPr>
      <t xml:space="preserve">finnes nedenfor, og i rapporten med mer detalsjerte beskrivelser av grunnlaget for de veiledende verdiene. </t>
    </r>
  </si>
  <si>
    <t xml:space="preserve">Følgende figur viser skjematisk hvordan nytten beregnes. Orangsje felt er variabler som må spesifiseres av brukeren. Veiledende verdier for strekningslengde, relativ skadekostnad, virkningen på gjennomsnittsfart og virkningen på andelen som kjører over 120 km/t fart finnes nedenfor, og i rapporten med mer detalsjerte beskrivelser av grunnlaget for de veiledende verdiene. </t>
  </si>
  <si>
    <r>
      <t>Det er mulig å definere tre ulike varianter av informasjon som skal vises på skiltene for å ta hensyn til at variable skilt kan vise ulike buddskap. De tre ulike variantene betegnes i det følgene som "</t>
    </r>
    <r>
      <rPr>
        <b/>
        <u/>
        <sz val="11"/>
        <color theme="1"/>
        <rFont val="Calibri"/>
        <family val="2"/>
        <scheme val="minor"/>
      </rPr>
      <t>tiltak A / B / C</t>
    </r>
    <r>
      <rPr>
        <sz val="11"/>
        <color theme="1"/>
        <rFont val="Calibri"/>
        <family val="2"/>
        <scheme val="minor"/>
      </rPr>
      <t xml:space="preserve">". A må alltid spesifiseres, B og C er valgfrie. Når tiltaket ikke er aktiv forutsettes at fartsfordelingen er uendret i forhold til situasjonen uten køvarsling. </t>
    </r>
  </si>
  <si>
    <r>
      <t xml:space="preserve">For </t>
    </r>
    <r>
      <rPr>
        <b/>
        <u/>
        <sz val="11"/>
        <color theme="1"/>
        <rFont val="Calibri"/>
        <family val="2"/>
        <scheme val="minor"/>
      </rPr>
      <t>variable skilt</t>
    </r>
    <r>
      <rPr>
        <b/>
        <sz val="11"/>
        <color theme="1"/>
        <rFont val="Calibri"/>
        <family val="2"/>
        <scheme val="minor"/>
      </rPr>
      <t xml:space="preserve"> </t>
    </r>
    <r>
      <rPr>
        <sz val="11"/>
        <color theme="1"/>
        <rFont val="Calibri"/>
        <family val="2"/>
        <scheme val="minor"/>
      </rPr>
      <t>er det mulig å definere tre ulike varianter av informasjon som skal vises for å ta hensyn til at variable skilt kan vise forskjellige typer informasjon (f.eks. forskjellige fartsgrenser med ulike typer tilleggsinformasjon. De tre ulike variantene betegnes i det følgene som "</t>
    </r>
    <r>
      <rPr>
        <b/>
        <u/>
        <sz val="11"/>
        <color theme="1"/>
        <rFont val="Calibri"/>
        <family val="2"/>
        <scheme val="minor"/>
      </rPr>
      <t>tiltak A / B / C</t>
    </r>
    <r>
      <rPr>
        <sz val="11"/>
        <color theme="1"/>
        <rFont val="Calibri"/>
        <family val="2"/>
        <scheme val="minor"/>
      </rPr>
      <t xml:space="preserve">". A må alltid spesifiseres, B og C er valgfrie. Når tiltaket ikke er aktivt forutsettes at både fartsgrense og gjennomsnittsfart er uendret i forhold til situasjonen uten variable fartsgrenser (den vanlige fartsgrensen kan likevel vises på skiltene). 
For </t>
    </r>
    <r>
      <rPr>
        <b/>
        <u/>
        <sz val="11"/>
        <color theme="1"/>
        <rFont val="Calibri"/>
        <family val="2"/>
        <scheme val="minor"/>
      </rPr>
      <t>fartsgrensepåminnende informasjon</t>
    </r>
    <r>
      <rPr>
        <sz val="11"/>
        <color theme="1"/>
        <rFont val="Calibri"/>
        <family val="2"/>
        <scheme val="minor"/>
      </rPr>
      <t xml:space="preserve">, </t>
    </r>
    <r>
      <rPr>
        <b/>
        <u/>
        <sz val="11"/>
        <color theme="1"/>
        <rFont val="Calibri"/>
        <family val="2"/>
        <scheme val="minor"/>
      </rPr>
      <t>fartsmålingstavler</t>
    </r>
    <r>
      <rPr>
        <sz val="11"/>
        <color theme="1"/>
        <rFont val="Calibri"/>
        <family val="2"/>
        <scheme val="minor"/>
      </rPr>
      <t xml:space="preserve">, </t>
    </r>
    <r>
      <rPr>
        <b/>
        <u/>
        <sz val="11"/>
        <color theme="1"/>
        <rFont val="Calibri"/>
        <family val="2"/>
        <scheme val="minor"/>
      </rPr>
      <t>punkt-ATK</t>
    </r>
    <r>
      <rPr>
        <sz val="11"/>
        <color theme="1"/>
        <rFont val="Calibri"/>
        <family val="2"/>
        <scheme val="minor"/>
      </rPr>
      <t xml:space="preserve"> og </t>
    </r>
    <r>
      <rPr>
        <b/>
        <u/>
        <sz val="11"/>
        <color theme="1"/>
        <rFont val="Calibri"/>
        <family val="2"/>
        <scheme val="minor"/>
      </rPr>
      <t>streknings-ATK</t>
    </r>
    <r>
      <rPr>
        <sz val="11"/>
        <color theme="1"/>
        <rFont val="Calibri"/>
        <family val="2"/>
        <scheme val="minor"/>
      </rPr>
      <t xml:space="preserve"> spesifiseres som regel kun A.</t>
    </r>
  </si>
  <si>
    <t>År (tiltakets levetid)</t>
  </si>
  <si>
    <t>Anbefalt fart (30 km/t) ved vegarbeider på veg med fartsgrense 70 km/t</t>
  </si>
  <si>
    <t>på brede veger</t>
  </si>
  <si>
    <t>på smale veger</t>
  </si>
  <si>
    <t>Kryss</t>
  </si>
  <si>
    <t>Strekning eller kryss</t>
  </si>
  <si>
    <t>Gangfelt på strekning utenfor kryss eller i kryss (brukes i beregning av TS-effekt)</t>
  </si>
  <si>
    <t>Gjennomsnittlig skadekostnad i én gjennomsnittlig personskadeulykke i gangfelt</t>
  </si>
  <si>
    <t>Prosent endring av andelen av alle fotgjengere som må vente fordi kjøretøy ikke overholder vikeplikten</t>
  </si>
  <si>
    <t>uten</t>
  </si>
  <si>
    <t>Endring av gjennomsnittlig ventetid per fotgjenger i sekunder (gjelder alle fotgjengere som krysser gangfeltet)</t>
  </si>
  <si>
    <t>Prosent endring av andelen kjøretøy som overholder vikeplikten for fotgjengere</t>
  </si>
  <si>
    <t>Gjennomsnittlig antall fotgjengere som krysser gangfeltet per døgn</t>
  </si>
  <si>
    <t>Gjennomsnittlig antall syklister som krysser gangfeltet per døgn (settes lik null hvis tiltaket antas ikke å ha noen virkning i forbindelse med kryssende syklister)</t>
  </si>
  <si>
    <t>Relativt antall ulykker i gangfelt</t>
  </si>
  <si>
    <t>&gt; 1</t>
  </si>
  <si>
    <t>Hvis det forventede antall ulykker i gangfeltet på lang sikt er høyere enn normalt.</t>
  </si>
  <si>
    <t>&lt; 1</t>
  </si>
  <si>
    <t>Hvis det forventede antall ulykker i gangfeltet på lang sikt er lavere enn normalt, for eksempel fordi gangfeltet er utstyrt med andre supplerende tiltak.</t>
  </si>
  <si>
    <t>Virkning på antall ulykker i gangfelt</t>
  </si>
  <si>
    <r>
      <t xml:space="preserve">Relativt antall ulykker i gangfeltet (1 = normalt antall; brukes i beregning av TS-effekt); se </t>
    </r>
    <r>
      <rPr>
        <u/>
        <sz val="11"/>
        <color rgb="FF92D050"/>
        <rFont val="Calibri"/>
        <family val="2"/>
        <scheme val="minor"/>
      </rPr>
      <t>Veiledende verdier</t>
    </r>
    <r>
      <rPr>
        <sz val="11"/>
        <rFont val="Calibri"/>
        <family val="2"/>
        <scheme val="minor"/>
      </rPr>
      <t>.</t>
    </r>
  </si>
  <si>
    <r>
      <t xml:space="preserve">Forventet endring av antall ulykker i gangfeltet (brukes i beregning av TS-effekt); se </t>
    </r>
    <r>
      <rPr>
        <u/>
        <sz val="11"/>
        <color rgb="FF92D050"/>
        <rFont val="Calibri"/>
        <family val="2"/>
        <scheme val="minor"/>
      </rPr>
      <t>Veiledende verdier</t>
    </r>
    <r>
      <rPr>
        <sz val="11"/>
        <rFont val="Calibri"/>
        <family val="2"/>
        <scheme val="minor"/>
      </rPr>
      <t>.</t>
    </r>
  </si>
  <si>
    <t>(Ingen empiriske studier av virkningen på ulykker; skjønnsmessig anslag, basert på studier av virkningen på førernes og fotgjengernes atferd ved fotgjengeroverganger )</t>
  </si>
  <si>
    <t>Hvis gangfeltet er opphøyd eller har refuge (basert på virkningen av supplerende tiltak i gangfelt på antall ulykker).</t>
  </si>
  <si>
    <t>Andelen kjøretøy som overholder vikeplikten for fotgjengere i gangfelt</t>
  </si>
  <si>
    <r>
      <t xml:space="preserve">Andelen av alle kjøretøy som respekterer vikeplikten for fotgjengere i gangfelt uten og med tiltak i prosent; se </t>
    </r>
    <r>
      <rPr>
        <u/>
        <sz val="11"/>
        <color rgb="FF92D050"/>
        <rFont val="Calibri"/>
        <family val="2"/>
        <scheme val="minor"/>
      </rPr>
      <t>Veiledende verdier</t>
    </r>
    <r>
      <rPr>
        <sz val="11"/>
        <color theme="1"/>
        <rFont val="Calibri"/>
        <family val="2"/>
        <scheme val="minor"/>
      </rPr>
      <t>.</t>
    </r>
  </si>
  <si>
    <t>Andelen uten tiltak:</t>
  </si>
  <si>
    <t>Andelen med tiltak:</t>
  </si>
  <si>
    <t>Oppgis helst ut fra observasjoner i det aktuelle gangfeltet.</t>
  </si>
  <si>
    <t>enn uten tiltak (rent skjønnsmessig anslag / forslag; ikke basert på empiriske studier)</t>
  </si>
  <si>
    <r>
      <t xml:space="preserve">Virkningen på antall påkjøring bakfra i prosent (standard: -24 [-10; -37]); se </t>
    </r>
    <r>
      <rPr>
        <u/>
        <sz val="11"/>
        <color rgb="FF92D050"/>
        <rFont val="Calibri"/>
        <family val="2"/>
        <scheme val="minor"/>
      </rPr>
      <t>Veiledende verdier</t>
    </r>
    <r>
      <rPr>
        <sz val="11"/>
        <rFont val="Calibri"/>
        <family val="2"/>
        <scheme val="minor"/>
      </rPr>
      <t>.</t>
    </r>
  </si>
  <si>
    <r>
      <t>Fartsendring: Virkning på gjennomsnittsfarten</t>
    </r>
    <r>
      <rPr>
        <b/>
        <sz val="12"/>
        <color theme="1"/>
        <rFont val="Calibri"/>
        <family val="2"/>
        <scheme val="minor"/>
      </rPr>
      <t xml:space="preserve"> (brukes i beregningen av virkningen på trafikksikkerhet og fremkommelighet)</t>
    </r>
  </si>
  <si>
    <t>Uten tiltak:</t>
  </si>
  <si>
    <t>Med tiltak:</t>
  </si>
  <si>
    <t xml:space="preserve">Andelen som kjører over 120 km/t uten tiltak skal helst baseres påfartsmålinger på den aktuelle strekningen. </t>
  </si>
  <si>
    <t>Andelen som kjører over 120 km/t med tiltak må vurderes skjønnsmessig; andelen går trolig ned.</t>
  </si>
  <si>
    <t>Maksimal forsinkelse</t>
  </si>
  <si>
    <t>Maksimal forsinkelse per kjøretøy når kollektivtrafikk får prioritet.</t>
  </si>
  <si>
    <r>
      <t xml:space="preserve">Halvparten av den maksimale forsinkelsen per bil når kollektivtrafikk får prioritet. Brukes under </t>
    </r>
    <r>
      <rPr>
        <u/>
        <sz val="11"/>
        <color theme="1"/>
        <rFont val="Calibri"/>
        <family val="2"/>
        <scheme val="minor"/>
      </rPr>
      <t>Beregningsforutsetninger</t>
    </r>
    <r>
      <rPr>
        <sz val="11"/>
        <color theme="1"/>
        <rFont val="Calibri"/>
        <family val="2"/>
        <scheme val="minor"/>
      </rPr>
      <t xml:space="preserve"> - </t>
    </r>
    <r>
      <rPr>
        <u/>
        <sz val="11"/>
        <color theme="1"/>
        <rFont val="Calibri"/>
        <family val="2"/>
        <scheme val="minor"/>
      </rPr>
      <t>Øvrig trafikk</t>
    </r>
    <r>
      <rPr>
        <sz val="11"/>
        <color theme="1"/>
        <rFont val="Calibri"/>
        <family val="2"/>
        <scheme val="minor"/>
      </rPr>
      <t xml:space="preserve"> - </t>
    </r>
    <r>
      <rPr>
        <u/>
        <sz val="11"/>
        <color theme="1"/>
        <rFont val="Calibri"/>
        <family val="2"/>
        <scheme val="minor"/>
      </rPr>
      <t>Forsinkelse per bil</t>
    </r>
  </si>
  <si>
    <t>Trafikkmengde på hovedvegen</t>
  </si>
  <si>
    <t>Trafikkmengde på den kryssende vegen</t>
  </si>
  <si>
    <r>
      <t xml:space="preserve">Gjennomsnittlig antall kjøretøy som blir forsinket per avgang (buss/trikk) som prioriteres av signalanlegget.
Verdien kan brukes under </t>
    </r>
    <r>
      <rPr>
        <u/>
        <sz val="11"/>
        <color theme="1"/>
        <rFont val="Calibri"/>
        <family val="2"/>
        <scheme val="minor"/>
      </rPr>
      <t>Beregningsforutsetninger</t>
    </r>
    <r>
      <rPr>
        <sz val="11"/>
        <color theme="1"/>
        <rFont val="Calibri"/>
        <family val="2"/>
        <scheme val="minor"/>
      </rPr>
      <t xml:space="preserve"> - </t>
    </r>
    <r>
      <rPr>
        <u/>
        <sz val="11"/>
        <color theme="1"/>
        <rFont val="Calibri"/>
        <family val="2"/>
        <scheme val="minor"/>
      </rPr>
      <t>Øvrig trafikk</t>
    </r>
    <r>
      <rPr>
        <sz val="11"/>
        <color theme="1"/>
        <rFont val="Calibri"/>
        <family val="2"/>
        <scheme val="minor"/>
      </rPr>
      <t xml:space="preserve"> - </t>
    </r>
    <r>
      <rPr>
        <u/>
        <sz val="11"/>
        <color theme="1"/>
        <rFont val="Calibri"/>
        <family val="2"/>
        <scheme val="minor"/>
      </rPr>
      <t>Antall kjøretøy per avgang.</t>
    </r>
  </si>
  <si>
    <r>
      <t xml:space="preserve">Forsinkelse per kjøretøy når kollektivtrafikk får prioritet; se </t>
    </r>
    <r>
      <rPr>
        <u/>
        <sz val="11"/>
        <color rgb="FF92D050"/>
        <rFont val="Calibri"/>
        <family val="2"/>
        <scheme val="minor"/>
      </rPr>
      <t>Veiledende verdier</t>
    </r>
    <r>
      <rPr>
        <sz val="11"/>
        <color theme="1"/>
        <rFont val="Calibri"/>
        <family val="2"/>
        <scheme val="minor"/>
      </rPr>
      <t xml:space="preserve"> - </t>
    </r>
    <r>
      <rPr>
        <u/>
        <sz val="11"/>
        <color theme="1"/>
        <rFont val="Calibri"/>
        <family val="2"/>
        <scheme val="minor"/>
      </rPr>
      <t>Kjøretøy- og forsinkelseskalkulator</t>
    </r>
  </si>
  <si>
    <r>
      <t xml:space="preserve">Kan estimeres ut fra ÅDT og den gjennomsnittlige forsinkelsen per bil med </t>
    </r>
    <r>
      <rPr>
        <u/>
        <sz val="11"/>
        <color theme="1"/>
        <rFont val="Calibri"/>
        <family val="2"/>
        <scheme val="minor"/>
      </rPr>
      <t>Kjøretøy- og forsinkelseskalkulatoren</t>
    </r>
    <r>
      <rPr>
        <sz val="11"/>
        <color theme="1"/>
        <rFont val="Calibri"/>
        <family val="2"/>
        <scheme val="minor"/>
      </rPr>
      <t xml:space="preserve"> under </t>
    </r>
    <r>
      <rPr>
        <u/>
        <sz val="11"/>
        <color rgb="FF92D050"/>
        <rFont val="Calibri"/>
        <family val="2"/>
        <scheme val="minor"/>
      </rPr>
      <t>Veiledende verdier</t>
    </r>
  </si>
  <si>
    <t>Gjennomsnittlig skadekostnad per ulykke (2009-kr.)*</t>
  </si>
  <si>
    <t>Kilde: Thorenfeldt et al. (2013)</t>
  </si>
  <si>
    <t>Personbiler på arbeidsreiser</t>
  </si>
  <si>
    <t>Regneark: 1 Fartsregulerende tiltak</t>
  </si>
  <si>
    <t>Regneark: 1 Fartsregulerende tiltak; 2 Køvarsling, 3 Tilfartskontroll</t>
  </si>
  <si>
    <t>Regneark: 1 Fartsregulerende tiltak; 2 Køvarsling, 3 Tilfartskontroll, 4 Gang- og sykkelvarsling, 5 Kollektivtrafikprioritering</t>
  </si>
  <si>
    <t>Regneark: 4 Gang- og sykkelvarsling</t>
  </si>
  <si>
    <t>Regneark: 6 Sanntidsinformasjon</t>
  </si>
  <si>
    <t>Kilde: Fearnley et al. (2010)</t>
  </si>
  <si>
    <t>Trafikantenes verdsetting av sanntidsinformasjon for kollektivtrafikk på holdeplassen</t>
  </si>
  <si>
    <t>Verdsetting av sanntidsinformasjon på holdeplassen</t>
  </si>
  <si>
    <t>Oversikt over tiltak i ITS-håndbøkene</t>
  </si>
  <si>
    <r>
      <t xml:space="preserve">Gjennomsnittlig (normal) skadekostnad </t>
    </r>
    <r>
      <rPr>
        <u/>
        <sz val="11"/>
        <color theme="1"/>
        <rFont val="Calibri"/>
        <family val="2"/>
        <scheme val="minor"/>
      </rPr>
      <t>uten tiltak</t>
    </r>
    <r>
      <rPr>
        <sz val="11"/>
        <color theme="1"/>
        <rFont val="Calibri"/>
        <family val="2"/>
        <scheme val="minor"/>
      </rPr>
      <t xml:space="preserve"> (kr. per kjøretøykilometer; avhengig av valgt vegtype)</t>
    </r>
  </si>
  <si>
    <t>Prosent endring av antall personskader. Beregnet med hjelp av potensmodellen basert på fartsendring og fordelingen av skadegradene. Nedre/øvre grense er basert på øvre og nedre grense for fartsendringen (hvis oppgitt) og konfidensintervall for eksponentene i potensmodell.</t>
  </si>
  <si>
    <t>Ved behov kan kalkulasjonsrenten endres manuelt i arket Data-Beregninger</t>
  </si>
  <si>
    <t>Ved behov kan skyggeprisen endres manuelt i arket Data-Beregninger</t>
  </si>
  <si>
    <t>Strekningen hvor tiltaket påvirker trafikken, ca. fra det første skiltet til ca. 500 m etter det siste skiltet</t>
  </si>
  <si>
    <t>Gjelder begge kjøreretningene; hvis tiltaket skal installeres i  én kjøreretning må ÅDT delt på 2 oppgis</t>
  </si>
  <si>
    <t>Virkning på antall ulykker A</t>
  </si>
  <si>
    <t>Virkning på antall ulykker B</t>
  </si>
  <si>
    <t>Virkning på antall ulykker C</t>
  </si>
  <si>
    <r>
      <t xml:space="preserve">Virkningen på antall ulykker i prosent; se </t>
    </r>
    <r>
      <rPr>
        <u/>
        <sz val="11"/>
        <color rgb="FF92D050"/>
        <rFont val="Calibri"/>
        <family val="2"/>
        <scheme val="minor"/>
      </rPr>
      <t>Veiledende verdier</t>
    </r>
    <r>
      <rPr>
        <sz val="11"/>
        <rFont val="Calibri"/>
        <family val="2"/>
        <scheme val="minor"/>
      </rPr>
      <t>.</t>
    </r>
  </si>
  <si>
    <r>
      <t xml:space="preserve">Verdsetting av reisetid med kollektivtransport (kr. per minutt), se </t>
    </r>
    <r>
      <rPr>
        <u/>
        <sz val="11"/>
        <color rgb="FF92D050"/>
        <rFont val="Calibri"/>
        <family val="2"/>
        <scheme val="minor"/>
      </rPr>
      <t>Veiledende verdier</t>
    </r>
    <r>
      <rPr>
        <sz val="11"/>
        <color theme="1"/>
        <rFont val="Calibri"/>
        <family val="2"/>
        <scheme val="minor"/>
      </rPr>
      <t>.</t>
    </r>
  </si>
  <si>
    <t>Regneark: 5 Kollektivtrafikkprioritering i kryss</t>
  </si>
  <si>
    <t>Trafikantenes verdsetting av reisetid med kollektivtransport</t>
  </si>
  <si>
    <t>Verdsetting av reisetid med kollektivtransport</t>
  </si>
  <si>
    <t>Operatørkostnaden per avgang per minutt</t>
  </si>
  <si>
    <t>gjennomsnittsfart samlet (vises under Beregningen av tiltakets nytte; beregnet ut fra endringen i fartsfordelingen)</t>
  </si>
  <si>
    <t>5 - 15 prosent høyere</t>
  </si>
  <si>
    <t>10 - 40 prosent lavere</t>
  </si>
  <si>
    <t>Middels</t>
  </si>
  <si>
    <t>Dårlig</t>
  </si>
  <si>
    <r>
      <t xml:space="preserve">Prosent endring av gjennomsnittsfarten når tiltaket (A, ev. også B og C) er aktiv. Hvordan fartsendringer kan estimeres er er beskrevet i rapporten. Eksempler og fartskalkulator under </t>
    </r>
    <r>
      <rPr>
        <u/>
        <sz val="11"/>
        <color rgb="FF92D050"/>
        <rFont val="Calibri"/>
        <family val="2"/>
        <scheme val="minor"/>
      </rPr>
      <t>Veiledende verdier</t>
    </r>
    <r>
      <rPr>
        <sz val="11"/>
        <color theme="1"/>
        <rFont val="Calibri"/>
        <family val="2"/>
        <scheme val="minor"/>
      </rPr>
      <t xml:space="preserve">. 
</t>
    </r>
    <r>
      <rPr>
        <u/>
        <sz val="11"/>
        <color theme="1"/>
        <rFont val="Calibri"/>
        <family val="2"/>
        <scheme val="minor"/>
      </rPr>
      <t>Øvre / nedre grense</t>
    </r>
    <r>
      <rPr>
        <sz val="11"/>
        <color theme="1"/>
        <rFont val="Calibri"/>
        <family val="2"/>
        <scheme val="minor"/>
      </rPr>
      <t xml:space="preserve"> for fartsendring kan, men må ikke, oppgis.</t>
    </r>
  </si>
  <si>
    <t>Justert prosent endring av gjennomsnittsfarten, ut fra reduksjonen av fartsgrensen og med hensyn tatt til at variable fartsgrenser har størrre effekt på farten enn faste fartsgrenser.</t>
  </si>
  <si>
    <t>Variabel fartsgrense under vanskelige kjøreforhold:</t>
  </si>
  <si>
    <t>Fartsendringen kan predikeres med fartskalkulatoren (uten justering for større effekt av variable fartsgrenser); de predikerte endringene nedjusteres med opp til 50% ved store endringer av fartsgrensen.</t>
  </si>
  <si>
    <t>uendret / noe redusert</t>
  </si>
  <si>
    <t>Variable fartsgrenser med og forbikjøringsforbud for tunge kjøretøy og campingvogn</t>
  </si>
  <si>
    <t>Vegtype, fartsgrense og ÅDT*</t>
  </si>
  <si>
    <t>* må være alfabetisk sortert etter 'Vegtype, fartsgrense og ÅDT'</t>
  </si>
  <si>
    <t>Nåverdi av nytten for trafikksikkerhet (mill. kr.) for tiltak A (ovg ev. B og C), samt summen av tiltakets nytte for trafikksikkerheten. Positive verdier er basert på ulykkesreduksjoner, negative på ulykkesøkninger.</t>
  </si>
  <si>
    <t>Nåverdi av nytten for fremkommeligheten (mill. kr.) for tiltak A (ovg ev. B og C), samt summen av tiltakets nytte for fremkommeligheten. Positive verdier er basert på fartsøkninger (reisetidsreduksjoner), negative på fartsreduksjoner (reisetidsøkninger).</t>
  </si>
  <si>
    <t>Nåverdi (mill. kr.) av tiltakets kostnader uten skattefaktor: investeringskostnader (alle kostnader i år null, fram til tiltaket er installert og tatt i drift), årlige drifts- og vedlikeholdskostnader og summen av alle kostnadene.</t>
  </si>
  <si>
    <t>Nytte minus kostnader (mill. kr.; nåverdier; kostnader inkl. skattefaktor)</t>
  </si>
  <si>
    <t>Nåverdi (mill. kr.) av alle tiltakets kostnader med skattefaktor.</t>
  </si>
  <si>
    <t>Nåverdi (mill. kr.)</t>
  </si>
  <si>
    <t>Nåverdi (mill. kr.; med skattefaktor)</t>
  </si>
  <si>
    <t>Nåverdi av nytten for trafikksikkerhet (mill. kr.), samt summen av tiltakets nytte for trafikksikkerheten. Beregnet direkte ut fra reduksjonen av antall ulykker (eventuelle fartsendringer inngår ikke i beregningen av nytten for trafikksikkerheten). Positive verdier er basert på ulykkesreduksjoner, negative på ulykkesøkninger.</t>
  </si>
  <si>
    <t>Prosent endring av gjennomsnittsfarten når tiltaket (A, ev. B/C) er aktiv, beregnet ut fra de oppgitte verdiene under Trafikkflyten. Øvre / nedre grense for fartsendring er beregnet som beste anslag plus/minus 25%.</t>
  </si>
  <si>
    <r>
      <rPr>
        <u/>
        <sz val="11"/>
        <color theme="1"/>
        <rFont val="Calibri"/>
        <family val="2"/>
        <scheme val="minor"/>
      </rPr>
      <t>Installasjonskostnader</t>
    </r>
    <r>
      <rPr>
        <sz val="11"/>
        <color theme="1"/>
        <rFont val="Calibri"/>
        <family val="2"/>
        <scheme val="minor"/>
      </rPr>
      <t xml:space="preserve"> omfatter alle kostnadene som oppstår til tiltaket er satt opp og tatt i drift. 
</t>
    </r>
    <r>
      <rPr>
        <u/>
        <sz val="11"/>
        <color theme="1"/>
        <rFont val="Calibri"/>
        <family val="2"/>
        <scheme val="minor"/>
      </rPr>
      <t xml:space="preserve">Årlig drift </t>
    </r>
    <r>
      <rPr>
        <sz val="11"/>
        <color theme="1"/>
        <rFont val="Calibri"/>
        <family val="2"/>
        <scheme val="minor"/>
      </rPr>
      <t xml:space="preserve">omfatter alle kostnader som påløper per år (kostnader som påløper i andre intervaller må omregnes til årlige kostnader). 
</t>
    </r>
    <r>
      <rPr>
        <u/>
        <sz val="11"/>
        <color theme="1"/>
        <rFont val="Calibri"/>
        <family val="2"/>
        <scheme val="minor"/>
      </rPr>
      <t>Annet utstyr</t>
    </r>
    <r>
      <rPr>
        <sz val="11"/>
        <color theme="1"/>
        <rFont val="Calibri"/>
        <family val="2"/>
        <scheme val="minor"/>
      </rPr>
      <t xml:space="preserve"> kanf.eks. omfatte bl.a. skilt for forvarsling av tilfartskontroll.</t>
    </r>
  </si>
  <si>
    <r>
      <t xml:space="preserve">Strekningen hvor tiltaket påvirker trafikken, se </t>
    </r>
    <r>
      <rPr>
        <u/>
        <sz val="11"/>
        <color rgb="FF92D050"/>
        <rFont val="Calibri"/>
        <family val="2"/>
        <scheme val="minor"/>
      </rPr>
      <t>Veiledende verdier</t>
    </r>
  </si>
  <si>
    <t>eller lengden på sammenflettingsfeltet</t>
  </si>
  <si>
    <t>Hele strekningen hvor fartsgrensene gjelder</t>
  </si>
  <si>
    <t>Nåverdi av nytten for miljøet (mill. kr.) for tiltak A (og ev. B og C), samt summen av tiltakets nytte for miljøet. Basert på endringer av utslipp av Nox, PM og CO2.
Positive verdier er basert på reduserte utslipp, negative på økte utslipp.</t>
  </si>
  <si>
    <t>Trafikk-annuitet</t>
  </si>
  <si>
    <t>Fotgjengere-annuitet</t>
  </si>
  <si>
    <t>Ulykker - annuitet</t>
  </si>
  <si>
    <t>Rel. passasjerantall (1 i år 0)</t>
  </si>
  <si>
    <t>Trafikkvekst - fotgj./syklister</t>
  </si>
  <si>
    <t>(Flere empiriske studier)</t>
  </si>
  <si>
    <t xml:space="preserve">   - at tiltaket er aktiv for 10% av trafikken (under 'Andel av ÅDT (X)')</t>
  </si>
  <si>
    <t xml:space="preserve">   - en relativ skadekostnad på 3,75</t>
  </si>
  <si>
    <t xml:space="preserve">   - gjennomsnittsfarten av trafikken i de periodene hvor vegen er glatt</t>
  </si>
  <si>
    <r>
      <rPr>
        <b/>
        <sz val="11"/>
        <color theme="1"/>
        <rFont val="Calibri"/>
        <family val="2"/>
        <scheme val="minor"/>
      </rPr>
      <t>Eksempel</t>
    </r>
    <r>
      <rPr>
        <sz val="11"/>
        <color theme="1"/>
        <rFont val="Calibri"/>
        <family val="2"/>
        <scheme val="minor"/>
      </rPr>
      <t>: Hvis vegen er glatt for 10% av ÅDT må brukeren oppgi (i tillegg til øvrige beregningsforutsetninger):</t>
    </r>
  </si>
  <si>
    <t>Fartsgrensepåminnende info., fartsmålingstavler:</t>
  </si>
  <si>
    <t>(Skjønnsmessig vurdering)</t>
  </si>
  <si>
    <r>
      <t xml:space="preserve">Variable fartsgrenser: </t>
    </r>
    <r>
      <rPr>
        <b/>
        <u/>
        <sz val="11"/>
        <color theme="1"/>
        <rFont val="Calibri"/>
        <family val="2"/>
        <scheme val="minor"/>
      </rPr>
      <t>Fartskalkulator</t>
    </r>
    <r>
      <rPr>
        <b/>
        <sz val="11"/>
        <color theme="1"/>
        <rFont val="Calibri"/>
        <family val="2"/>
        <scheme val="minor"/>
      </rPr>
      <t xml:space="preserve"> - estimert fartsendring ut fra endringen av fartsgrensen</t>
    </r>
  </si>
  <si>
    <t>Variable fartsgrenser:</t>
  </si>
  <si>
    <t>(trolig ingen eller liten virkning; kan variere lokalt)</t>
  </si>
  <si>
    <t>(1 empirisk studie av fartsmålingstavle pluss punkt-ATK i vegarbeidsområde; fartsgrense 89 km/t)</t>
  </si>
  <si>
    <t>(Norsk studie; varierer mellom enkelte strekninger)</t>
  </si>
  <si>
    <t>Var. fartsgrenser med varsling av tåke eller vanskelige kjøreforhold</t>
  </si>
  <si>
    <t>Anbefalt fart og tåkevarsling eller varsling om glatt veg</t>
  </si>
  <si>
    <t>Varsling av glatt veg med anbefalt minste avstand til forankjørende</t>
  </si>
  <si>
    <t>Fartsgrensepåminnende informasjon / fartsmålingstavler</t>
  </si>
  <si>
    <t>God</t>
  </si>
  <si>
    <t>Fremkomm-elighet</t>
  </si>
  <si>
    <t>Tiltak i vegarbeidsområder: Variable fartsgrenser</t>
  </si>
  <si>
    <t>Tiltak i vegarbeidsområder: Fartsmålingstavler</t>
  </si>
  <si>
    <t>Tiltak i vegarbeidsområder: Anbefalt fart ved vegoppmerking</t>
  </si>
  <si>
    <t>Varsling av glatt veg og anbefalt minste avstand til forankjørende:</t>
  </si>
  <si>
    <t>-1</t>
  </si>
  <si>
    <t>(1 empirisk studie)</t>
  </si>
  <si>
    <t>-3</t>
  </si>
  <si>
    <t>(Empiriske studier fra Sverige)</t>
  </si>
  <si>
    <t>(avhengig av andelen uten tiltak og fartsgrense)</t>
  </si>
  <si>
    <t>Fartsmålingstavle i vegarbeidsområde</t>
  </si>
  <si>
    <t>(flere empiriske studier)</t>
  </si>
  <si>
    <t>-7</t>
  </si>
  <si>
    <t>-2</t>
  </si>
  <si>
    <t>-18</t>
  </si>
  <si>
    <t>Tiltak i vegarbeidsområde:</t>
  </si>
  <si>
    <t>Var. fartsgr. med forbikj.forbud for tunge kjøretøy og campignvogn</t>
  </si>
  <si>
    <t>gjennomsnittsfart i fritt flytende trafikk</t>
  </si>
  <si>
    <t>Gjennomsnittsfart i situasjon (uten tiltak) hvor tiltak skal være aktiv</t>
  </si>
  <si>
    <t>skako mill. kr.</t>
  </si>
  <si>
    <t>rel. gjennomsnittsfart</t>
  </si>
  <si>
    <t>eksponent i potensmodell (gjelder lande-motorveg)</t>
  </si>
  <si>
    <t>rel antall (totalt)</t>
  </si>
  <si>
    <t>rel. antall med fartsendring</t>
  </si>
  <si>
    <t>rel. antall (av alle) med fartsendring</t>
  </si>
  <si>
    <t>skako uten tiltak</t>
  </si>
  <si>
    <t>skako med tiltak</t>
  </si>
  <si>
    <r>
      <t xml:space="preserve">Relativ skadekostnad under de forhold som varsles med tiltak aktiv A/B/C; kan oppgis for å ta hensyn til at variable skilt som regel brukes i situasjoner hvor risikoen og skadekostnadene er høyere (eller lavere) enn normal. Eksempler og skadekostnadskalkulator under </t>
    </r>
    <r>
      <rPr>
        <u/>
        <sz val="11"/>
        <color rgb="FF92D050"/>
        <rFont val="Calibri"/>
        <family val="2"/>
        <scheme val="minor"/>
      </rPr>
      <t>Veiledende verdier</t>
    </r>
    <r>
      <rPr>
        <sz val="11"/>
        <color theme="1"/>
        <rFont val="Calibri"/>
        <family val="2"/>
        <scheme val="minor"/>
      </rPr>
      <t>.</t>
    </r>
  </si>
  <si>
    <t>Relativ skadekostnad; kan brukes for tiltak som skal brukes for eksempel når det er tett trafikk eller kø.</t>
  </si>
  <si>
    <t>Andelen av ÅDT på glatt veg</t>
  </si>
  <si>
    <t>Skadekostnadene er lavere jo lavere gjennomsnittsfarten. Ut fra den generelle sammenhengen mellom fart og skadekostnader (potensmodellen) kan man beregne de relative skadekostnadene i situasjoner når gjennomsnittsfarten er lavere (eller høyere) enn normalt:</t>
  </si>
  <si>
    <t>Gjennomsnittsfart for all trafikk gjennom hele året</t>
  </si>
  <si>
    <t>Strekningslengde (må alltid oppgis)</t>
  </si>
  <si>
    <t>Relative skadekostnader (må alltid oppgis)</t>
  </si>
  <si>
    <t>Virkning på antall ulykker (brukes i beregningen av nytten for trafikksikkerheten)</t>
  </si>
  <si>
    <t>Fartsfordelingen: Andelene i de ulike kjøresituasjonene og gjennomsnittsfarten i fritt flytende trafikk (brukes i beregningen av miljø- og fremkommelighetseffekter)</t>
  </si>
  <si>
    <t>Andel i kø:</t>
  </si>
  <si>
    <t>Andel i tett trafikk:</t>
  </si>
  <si>
    <t>Andel i fritt flytende trafikk:</t>
  </si>
  <si>
    <t>Fart i fritt flytende trafikk:</t>
  </si>
  <si>
    <t>Fartsfordeling i situasjon (uten tiltak) hvor tiltak skal være aktiv:</t>
  </si>
  <si>
    <t>Skadekostnadene er lavere jo lavere gjennomsnittsfarten. Ut fra den generelle sammenhengen mellom fart og skadekostnader (potensmodellen) kan man beregne de relative skadekostnadene i situasjoner hvor deler av trafikken kjører i kø eller tett trafikk:</t>
  </si>
  <si>
    <t>All trafikk:</t>
  </si>
  <si>
    <r>
      <t xml:space="preserve">Tilfartskontroll og variable fartsgrenser i tett trafikk / kø: </t>
    </r>
    <r>
      <rPr>
        <b/>
        <u/>
        <sz val="11"/>
        <color theme="1"/>
        <rFont val="Calibri"/>
        <family val="2"/>
        <scheme val="minor"/>
      </rPr>
      <t>Skadekostnadskalkulator</t>
    </r>
  </si>
  <si>
    <r>
      <t xml:space="preserve">Relativ skadekostnad når tiltak A/B/C skal være aktiv; kan oppgis for å ta hensyn til at tiltak som regel brukes i situasjoner hvor risikoen og skadekostnadene er høyere eller lavere enn normal. Eksempler og skedkostnadskalkulator under </t>
    </r>
    <r>
      <rPr>
        <u/>
        <sz val="11"/>
        <color rgb="FF92D050"/>
        <rFont val="Calibri"/>
        <family val="2"/>
        <scheme val="minor"/>
      </rPr>
      <t>Veiledende verdier</t>
    </r>
    <r>
      <rPr>
        <sz val="11"/>
        <color theme="1"/>
        <rFont val="Calibri"/>
        <family val="2"/>
        <scheme val="minor"/>
      </rPr>
      <t>.</t>
    </r>
  </si>
  <si>
    <t>(1 empirisk studie; meget usikkert)</t>
  </si>
  <si>
    <t>Oppgis helst ut fra fartsmålinger på den aktuelle strekningen og er avhengig av hvordan fartsgrensene skal programmeres.</t>
  </si>
  <si>
    <t>30 prosent lavere</t>
  </si>
  <si>
    <t>9 prosent høyere</t>
  </si>
  <si>
    <t>noe høyere</t>
  </si>
  <si>
    <r>
      <t xml:space="preserve">Det er mulig å definere tre ulike varianter av informasjon som skal vises for å ta hensyn til at variable skilt kan vise forskjellige typer informasjon (f.eks. forskjellige fartsgrenser med ulike typer tilleggsinformasjon). De tre ulike variantene betegnes i det følgene som "tiltak A / B / C". A må alltid spesifiseres, B og C er valgfrie.  
For </t>
    </r>
    <r>
      <rPr>
        <b/>
        <u/>
        <sz val="11"/>
        <rFont val="Calibri"/>
        <family val="2"/>
        <scheme val="minor"/>
      </rPr>
      <t>tilfartskontroll</t>
    </r>
    <r>
      <rPr>
        <sz val="11"/>
        <rFont val="Calibri"/>
        <family val="2"/>
        <scheme val="minor"/>
      </rPr>
      <t xml:space="preserve"> skal som regel </t>
    </r>
    <r>
      <rPr>
        <u/>
        <sz val="11"/>
        <rFont val="Calibri"/>
        <family val="2"/>
        <scheme val="minor"/>
      </rPr>
      <t>kun tiltak A</t>
    </r>
    <r>
      <rPr>
        <sz val="11"/>
        <rFont val="Calibri"/>
        <family val="2"/>
        <scheme val="minor"/>
      </rPr>
      <t xml:space="preserve"> spesifiseres. </t>
    </r>
  </si>
  <si>
    <t>Varsel for gang og sykkel ved gangfelt:</t>
  </si>
  <si>
    <t>Nåverdi av nytten for miljøet (mill. kr.) for tiltak A (ovg ev. B og C), samt summen av tiltakets nytte for miljøet. Positive verdier er basert på en reduksjon av CO2-utslipp (ut fra reduksjonen av andelen som kjører over 120 km/t), negative på økte utslipp.</t>
  </si>
  <si>
    <t>kr. per personbil</t>
  </si>
  <si>
    <t>kr. per buss</t>
  </si>
  <si>
    <t>kr. per tungt kjøretøy</t>
  </si>
  <si>
    <t>Nåverdi av nytten for trafikksikkerhet (mill. kr.) for tiltak A (ovg ev. B og C), samt summen av tiltakets nytte for trafikksikkerheten. Beregnet ut fra reduksjonen av antall ulykker med påkjøring bakfra (eventuelle fartsendringer inngår ikke i beregningen av nytten for trafikksikkerheten). Positive verdier er basert på ulykkesreduksjoner, negative på ulykkesøkninger.</t>
  </si>
  <si>
    <t>Reduksjon av skadekostnader per mill. budsjettkr. (mill. kr.; nåv.; inkl. skattefaktor)</t>
  </si>
  <si>
    <r>
      <rPr>
        <i/>
        <u/>
        <sz val="11"/>
        <color theme="1"/>
        <rFont val="Calibri"/>
        <family val="2"/>
        <scheme val="minor"/>
      </rPr>
      <t>Nedre og øvre grense</t>
    </r>
    <r>
      <rPr>
        <i/>
        <sz val="11"/>
        <color theme="1"/>
        <rFont val="Calibri"/>
        <family val="2"/>
        <scheme val="minor"/>
      </rPr>
      <t xml:space="preserve"> er basert på de henhodsvis mest pessimistiske og de mest optimistiske antakelsene om virkningen på ulykker og overholdelse av vikeplikt (ikke konfidensintervall).</t>
    </r>
  </si>
  <si>
    <t>Nåverdi av nytten for trafikksikkerhet i mill. kr.</t>
  </si>
  <si>
    <t>Nåverdi av nytten for femkommelighet i mill. kr. - kjøretøy</t>
  </si>
  <si>
    <t>Nåverdi av nytten for femkommelighet i mill. kr. - fotgjengere</t>
  </si>
  <si>
    <t>Nåverdi av nytten for femkommelighet i mill. kr. - syklister</t>
  </si>
  <si>
    <t>Nåverdi av nytten for femkommelighet i mill. kr. - kjøretøy og fotgjengere</t>
  </si>
  <si>
    <t>Nåverdi av investeringskostnader i mill. kr.</t>
  </si>
  <si>
    <t>Nåverdi av årlige drift-/vedlikeholdskostnader i mill. kr.</t>
  </si>
  <si>
    <t>Nåverdi av alle kostnader i mill. kr.</t>
  </si>
  <si>
    <t>Nåverdi av alle kostnader inkl. skattefaktor i mill. kr.</t>
  </si>
  <si>
    <t>Mill. kr.</t>
  </si>
  <si>
    <t>Sanntidsinformasjon om kollektivtrafikk på holdeplass</t>
  </si>
  <si>
    <t>rel. gjennomsnittsfart fritt flytende</t>
  </si>
  <si>
    <t>rel. gjennomsnittsfart tett</t>
  </si>
  <si>
    <t>rel. gjennomsnittsfart kø</t>
  </si>
  <si>
    <t>rel. antall med fartsendring kø</t>
  </si>
  <si>
    <t>rel. antall med fartsendring tett</t>
  </si>
  <si>
    <t>rel. antall med fartsendring fritt flytende</t>
  </si>
  <si>
    <t>rel. antall alle</t>
  </si>
  <si>
    <t xml:space="preserve">De veiledende verdiene kan brukes hvis brukeren ikke har annen informasjon om tiltakets virkninger, og kan skjønnsmessig endres slik at de passer best mulig under de aktuelle forholdene. </t>
  </si>
  <si>
    <t>3 Køvarsling</t>
  </si>
  <si>
    <t>Tolkning av resultatene</t>
  </si>
  <si>
    <t xml:space="preserve">1 Fartsreduserende tiltak 1 </t>
  </si>
  <si>
    <t>2 Fartsregulerende tiltak 2</t>
  </si>
  <si>
    <t>eller</t>
  </si>
  <si>
    <t>Grønne celler viser veiledende verdier; disse kan brukes for å fylle ut orangsje eller guler celler</t>
  </si>
  <si>
    <t>Km/t; vanlig fartsgrense (ikke oppgitt under beregningsforutsetningene).</t>
  </si>
  <si>
    <t>Gjennomsnittsfart uten tiltak:</t>
  </si>
  <si>
    <t>** Se veiledende verdier (nederst på ark 1 Fartsregulerende tiltak 1 eller i rapporten).</t>
  </si>
  <si>
    <t>Oversikt over hvilken informasjon som må/kan oppgis for tiltak som kan vurderes i ark 1 Fartsregulerende tiltak 1</t>
  </si>
  <si>
    <t>Tabellen er hentet fra Effekt 6: Endringer og utvidelser i versjon 6.43 (Statens vegvesen, 14.03.2012)</t>
  </si>
  <si>
    <t>En oversikt over alle tiltak som kan vurderes i xls-verktøyet finnes i ark 'Oversikt over tiltak'. Av denne oversikten fremgår hvilket regneark som skal brukes for det aktuelle tiltaket.</t>
  </si>
  <si>
    <t>For øvrige tiltak oppgis den faktiske strekningslengden hvor tiltaket gjelder, for eksempel hele strekningen hvor fartsgrensen er satt ned, eller strekningen fra første til andre fotoboks for streknings-ATK</t>
  </si>
  <si>
    <t>Avhengig av tiltak; de samme veiledende verdier som for tiltak på vanlig veg kan brukes, men maksimalt lengden av strekningen nedstrøms for tiltaket som ligger i vegarbeidsområde</t>
  </si>
  <si>
    <r>
      <rPr>
        <b/>
        <sz val="11"/>
        <color theme="1"/>
        <rFont val="Calibri"/>
        <family val="2"/>
        <scheme val="minor"/>
      </rPr>
      <t>Forklaring</t>
    </r>
    <r>
      <rPr>
        <sz val="11"/>
        <color theme="1"/>
        <rFont val="Calibri"/>
        <family val="2"/>
        <scheme val="minor"/>
      </rPr>
      <t xml:space="preserve">: Relative skadekostnader på glatt veg avhenger av hvor ofte vegen er glatt. </t>
    </r>
  </si>
  <si>
    <r>
      <rPr>
        <b/>
        <u/>
        <sz val="11"/>
        <color theme="1"/>
        <rFont val="Calibri"/>
        <family val="2"/>
        <scheme val="minor"/>
      </rPr>
      <t xml:space="preserve">Skadekostnadskalkulator </t>
    </r>
    <r>
      <rPr>
        <b/>
        <sz val="11"/>
        <color theme="1"/>
        <rFont val="Calibri"/>
        <family val="2"/>
        <scheme val="minor"/>
      </rPr>
      <t>for tett trafikk / kø</t>
    </r>
  </si>
  <si>
    <t>Utskrift</t>
  </si>
  <si>
    <t>Alle regnearkene er tilrettelagt slik at de kan skrives ut som de er (i liggende format).</t>
  </si>
  <si>
    <t>Skilt mv.</t>
  </si>
  <si>
    <t>Regneark: 3 Køvarsling</t>
  </si>
  <si>
    <t>Regneark: 2 Fartsreg. tiltak 2, 3 Køvarsling</t>
  </si>
  <si>
    <t>Regneark: 1 &amp; 2 Fartsreg. tiltak 1&amp;2, 3 Køvarsling</t>
  </si>
  <si>
    <t>(informasjon om fotgjengerovergang og vegen trenges for å beregne normale skadekostnader)</t>
  </si>
  <si>
    <t>Forventet årlig økning av antall fotgjengere og syklister (0 hvis antallet antas å være konstant) (valgfri)</t>
  </si>
  <si>
    <r>
      <t xml:space="preserve">Verdsettingen av sanntidsinformasjon på holdeplass (per passasjer), se </t>
    </r>
    <r>
      <rPr>
        <u/>
        <sz val="11"/>
        <color rgb="FF92D050"/>
        <rFont val="Calibri"/>
        <family val="2"/>
        <scheme val="minor"/>
      </rPr>
      <t>Veiledende verdier</t>
    </r>
    <r>
      <rPr>
        <sz val="11"/>
        <color theme="1"/>
        <rFont val="Calibri"/>
        <family val="2"/>
        <scheme val="minor"/>
      </rPr>
      <t>.</t>
    </r>
  </si>
  <si>
    <r>
      <t xml:space="preserve">Operatørkostnad per avgang (kr. per minutt) (se </t>
    </r>
    <r>
      <rPr>
        <u/>
        <sz val="11"/>
        <color rgb="FF92D050"/>
        <rFont val="Calibri"/>
        <family val="2"/>
        <scheme val="minor"/>
      </rPr>
      <t>Veiledende verdier</t>
    </r>
    <r>
      <rPr>
        <sz val="11"/>
        <color theme="1"/>
        <rFont val="Calibri"/>
        <family val="2"/>
        <scheme val="minor"/>
      </rPr>
      <t>)</t>
    </r>
  </si>
  <si>
    <t>Kap.</t>
  </si>
  <si>
    <t>Indeksjustering til</t>
  </si>
  <si>
    <t>Velg fra rullegardinliste (vegtypen brukes for å hente normale skadekostnader)</t>
  </si>
  <si>
    <t>Oppgis i bruksanvisningen (oransje felt under 3 Indeksjustering)</t>
  </si>
  <si>
    <t>Antatt gjennomsnittsfart i tett trafikk: 30 km/t</t>
  </si>
  <si>
    <t>Antatt gjennomsnittsfart i kø: 13 km/t</t>
  </si>
  <si>
    <t>Køvarsling med tilleggsinformasjon:</t>
  </si>
  <si>
    <t>Velg fra liste; vegtypen brukes i beregning av trafikksikkerhetseffekt</t>
  </si>
  <si>
    <t>kr. per reise, indeksjustert (1 empirisk studie fra Norge; svært usikkert resultat, trolig maksimumsanslag)</t>
  </si>
  <si>
    <r>
      <t xml:space="preserve">Nyttekomponenter som skal være med i beregningen av den samlede samfunnsøkonomiske nytten av tiltaket settes til </t>
    </r>
    <r>
      <rPr>
        <b/>
        <u/>
        <sz val="11"/>
        <rFont val="Calibri"/>
        <family val="2"/>
        <scheme val="minor"/>
      </rPr>
      <t>Ja</t>
    </r>
    <r>
      <rPr>
        <sz val="11"/>
        <rFont val="Calibri"/>
        <family val="2"/>
        <scheme val="minor"/>
      </rPr>
      <t xml:space="preserve">. Enkelte nyttekomponenter kan settes til </t>
    </r>
    <r>
      <rPr>
        <b/>
        <u/>
        <sz val="11"/>
        <rFont val="Calibri"/>
        <family val="2"/>
        <scheme val="minor"/>
      </rPr>
      <t xml:space="preserve">Nei </t>
    </r>
    <r>
      <rPr>
        <sz val="11"/>
        <rFont val="Calibri"/>
        <family val="2"/>
        <scheme val="minor"/>
      </rPr>
      <t xml:space="preserve">hvis de av ulike grunner ikke skal inngå i nytte-kostnadsvurderingene (for eksempel hvis fremkommelighetsnytten for kjøretøy ikke skal inkluderes i beregningene fordi det er obligatorisk å vente på fotgjengere i gangfelt.
Hvis nytten for </t>
    </r>
    <r>
      <rPr>
        <b/>
        <u/>
        <sz val="11"/>
        <rFont val="Calibri"/>
        <family val="2"/>
        <scheme val="minor"/>
      </rPr>
      <t xml:space="preserve">syklister </t>
    </r>
    <r>
      <rPr>
        <sz val="11"/>
        <rFont val="Calibri"/>
        <family val="2"/>
        <scheme val="minor"/>
      </rPr>
      <t>ikke skal inngå i beregningene settes antall syklister som krysser gangfeltet lik null ("Fremkomm. fotgj./sykl." må likevel settes til "Ja").</t>
    </r>
  </si>
  <si>
    <t>kr. per min., indeksjustert (1 empirisk studie fra Norge)</t>
  </si>
  <si>
    <r>
      <t xml:space="preserve">Gjennomsnittsfart på strekningen </t>
    </r>
    <r>
      <rPr>
        <u/>
        <sz val="11"/>
        <color theme="1"/>
        <rFont val="Calibri"/>
        <family val="2"/>
        <scheme val="minor"/>
      </rPr>
      <t>uten tiltak</t>
    </r>
    <r>
      <rPr>
        <sz val="11"/>
        <color theme="1"/>
        <rFont val="Calibri"/>
        <family val="2"/>
        <scheme val="minor"/>
      </rPr>
      <t>, under de forholdene når tiltaket (A, ev. også B og C) skal være aktiv. Brukes som referanseverdi (uten tiltak) for å beregne endringen av reisetiden (ut fra fartsendringen) med tiltaket som er spesifisert under 22-24.</t>
    </r>
  </si>
  <si>
    <r>
      <rPr>
        <b/>
        <sz val="11"/>
        <rFont val="Calibri"/>
        <family val="2"/>
        <scheme val="minor"/>
      </rPr>
      <t>De tre kjøresituasjonene (kø, tett, fritt flytende) er definert ut fra sammenhengen mellom kjørestil og utslipp. Verdiene som oppgis her brukes i beregningen av miljø- og fremkommelighetsvirkningen. Se rapporten for mer informasjon.</t>
    </r>
    <r>
      <rPr>
        <sz val="11"/>
        <rFont val="Calibri"/>
        <family val="2"/>
        <scheme val="minor"/>
      </rPr>
      <t xml:space="preserve"> Andelene i de ulike kjøresituasjonene og gjennomsnittsfart i fritt flytende trafikk gjelder de periodene mens tiltaket (A, ev. B/C) er aktiv.</t>
    </r>
    <r>
      <rPr>
        <b/>
        <u/>
        <sz val="11"/>
        <rFont val="Calibri"/>
        <family val="2"/>
        <scheme val="minor"/>
      </rPr>
      <t xml:space="preserve">
</t>
    </r>
    <r>
      <rPr>
        <u/>
        <sz val="11"/>
        <rFont val="Calibri"/>
        <family val="2"/>
        <scheme val="minor"/>
      </rPr>
      <t>Andel i kø</t>
    </r>
    <r>
      <rPr>
        <sz val="11"/>
        <rFont val="Calibri"/>
        <family val="2"/>
        <scheme val="minor"/>
      </rPr>
      <t xml:space="preserve">: Andelen som kjører i kø (13 km/t gjennomsnittsfart) mens tiltaket er aktiv.
</t>
    </r>
    <r>
      <rPr>
        <u/>
        <sz val="11"/>
        <rFont val="Calibri"/>
        <family val="2"/>
        <scheme val="minor"/>
      </rPr>
      <t>Andel i tett trafikk</t>
    </r>
    <r>
      <rPr>
        <sz val="11"/>
        <rFont val="Calibri"/>
        <family val="2"/>
        <scheme val="minor"/>
      </rPr>
      <t xml:space="preserve">: Andelen som kjører i tett trafikk (30 km/t gjennomsnittsfart) mens tiltaket er aktiv.
</t>
    </r>
    <r>
      <rPr>
        <u/>
        <sz val="11"/>
        <rFont val="Calibri"/>
        <family val="2"/>
        <scheme val="minor"/>
      </rPr>
      <t>Andel i fritt flytende trafikk</t>
    </r>
    <r>
      <rPr>
        <sz val="11"/>
        <rFont val="Calibri"/>
        <family val="2"/>
        <scheme val="minor"/>
      </rPr>
      <t xml:space="preserve">: Beregnet slik at summen av andelene i kø, tett og fritt flytende trafikk er 100 for hver tiltaksvariant. </t>
    </r>
    <r>
      <rPr>
        <u/>
        <sz val="11"/>
        <rFont val="Calibri"/>
        <family val="2"/>
        <scheme val="minor"/>
      </rPr>
      <t>Gjennomsnittsfart</t>
    </r>
    <r>
      <rPr>
        <sz val="11"/>
        <rFont val="Calibri"/>
        <family val="2"/>
        <scheme val="minor"/>
      </rPr>
      <t xml:space="preserve"> i fritt flytende trafikk oppgis under 27, 31 og 35 (hvordan gjennomsnittsfarten i kø og tett trafikk er definert er beskrevet i rapporten). 
</t>
    </r>
    <r>
      <rPr>
        <b/>
        <u/>
        <sz val="11"/>
        <rFont val="Calibri"/>
        <family val="2"/>
        <scheme val="minor"/>
      </rPr>
      <t>OBS</t>
    </r>
    <r>
      <rPr>
        <sz val="11"/>
        <rFont val="Calibri"/>
        <family val="2"/>
        <scheme val="minor"/>
      </rPr>
      <t xml:space="preserve">: Andelene i de ulike kjøresituasjonene og gjennomsnittsfarten i fritt flytende trafikk må estimeres ut fra erfaringer eller skjønnsmessig. Hvordan verdiene kan estimeres er beskrevet nærmere nedenfor under </t>
    </r>
    <r>
      <rPr>
        <u/>
        <sz val="11"/>
        <color rgb="FF92D050"/>
        <rFont val="Calibri"/>
        <family val="2"/>
        <scheme val="minor"/>
      </rPr>
      <t>Veiledende verdier</t>
    </r>
    <r>
      <rPr>
        <sz val="11"/>
        <rFont val="Calibri"/>
        <family val="2"/>
        <scheme val="minor"/>
      </rPr>
      <t xml:space="preserve"> og i rapporten. </t>
    </r>
  </si>
  <si>
    <t>Andelen av trafikkmengden på vegen når tiltaket (tiltak A, ev. B/C) skal være aktiv. Gjelder all trafikk gjennom hele året. Standard: 0 for B og C. Hvis tiltak A/B/C er tilfartskontroll på tre ramper må trafikkmengden som er oppgitt under pkt. 11 "fordeles" på de tre delene av motor-/hovedvegen.</t>
  </si>
  <si>
    <t>Nåverdi av nytten for fremkommeligheten (mill. kr.) for tiltaket (A, ev. B/C), samt summen av tiltakets nytte for fremkommeligheten. Positive verdier er basert på fartsøkninger (reisetidsreduksjoner), negative på fartsreduksjoner (reisetidsøkninger).</t>
  </si>
  <si>
    <t>Indeksjustering, kostnader og andre beregningsforutsetninger</t>
  </si>
  <si>
    <t>Resultatene av nytte-kostnadsvurderingene vises i blå celler. Resultatene er i stor grad basert på den informasjonen som er oppgitt av brukeren. Det er viktig å huske at et resultat aldri er bedre enn den informasjonen som legges til grunn og et resultat kan anses som pålitelig kun hvis beregningsforutsetningene er basert på solid kunnskap, helst fra empiriske studier eller observasjoner på den aktuelle vegen. For mange tiltak foreligger det forholdsvis lite og dårlig kunnskap om virkningene på fart, ulykker og lignende og resultatene vil være tilsvarende usikre.</t>
  </si>
  <si>
    <t>Alle oransje cellene MÅ alltid fylles ut av brukeren, de gule cellene må ikke alltid fylles ut. Dersom det mangler relevant informasjon kommer det en feilmelding under 'Beregning av tiltakets nytte'.</t>
  </si>
  <si>
    <t>Fartsreduserende tiltak med virkning på gjennomsnittsfart og andelen som kjører over 120 km/t:</t>
  </si>
  <si>
    <t>Fartsreduserende tiltak med virkning på ulykkesrisiko og fartsfordelingen:</t>
  </si>
  <si>
    <t>Fartskalkulatoren kan brukes for å estimere fartsendringen ut fra den generelle sammenhengen mellom fartsgrenseendring og fartsendring. Med hjelp av fartskalkulatoren kan man beregne hvilken fartsendring man kan forvente hvis den faste fartsgrensen settes ned, eller med en (skjønnsmessig) justering for at variable fartsgrenser som regel har større effekt enn permanente. Den estimerte fartsendringen kan brukes hvis ingen annen informasjon om forventet endring av gjennomsnittsfarten foreligger. Verdiene kan skjønnsmessig justeres, f.eks. etter fartsmålinger eller funn fra andre studier. Fartskalkulatoren kan ikke brukes for å beregne virkninger av fartsgrenseøkninger på over 10 km/t.</t>
  </si>
  <si>
    <t>Oversikt over regneark i Excel-verktøyet</t>
  </si>
  <si>
    <t>*** Hvis formålet (eller den forventede virkningen) i hovedsak er en reduksjon av køer, anbefales bruk av regneark 3 Køvarsling.</t>
  </si>
  <si>
    <t>Ulykkeskostnader per skadetilfelle (indeksjustert)</t>
  </si>
  <si>
    <t>(indeksjustert)</t>
  </si>
  <si>
    <t>(indksjust.)</t>
  </si>
  <si>
    <t>Ulykkeskostnader per skadetilfelle</t>
  </si>
  <si>
    <t>Fra år:</t>
  </si>
  <si>
    <t>Gjennomsnittlig skadekostnad per ulykke</t>
  </si>
  <si>
    <r>
      <t xml:space="preserve">Skadekostnad per skadegrad </t>
    </r>
    <r>
      <rPr>
        <i/>
        <sz val="9"/>
        <color theme="1"/>
        <rFont val="Calibri"/>
        <family val="2"/>
        <scheme val="minor"/>
      </rPr>
      <t>(hentes fra rad 12)</t>
    </r>
  </si>
  <si>
    <r>
      <t xml:space="preserve">Alle enhetskostnadene (ulykkes-, reisetids- og miljøkostnader) </t>
    </r>
    <r>
      <rPr>
        <u/>
        <sz val="11"/>
        <color theme="1"/>
        <rFont val="Calibri"/>
        <family val="2"/>
        <scheme val="minor"/>
      </rPr>
      <t>indeksjusteres</t>
    </r>
    <r>
      <rPr>
        <sz val="11"/>
        <color theme="1"/>
        <rFont val="Calibri"/>
        <family val="2"/>
        <scheme val="minor"/>
      </rPr>
      <t>. Hvilket år prisene skal indeksjusteres til skrives inn her (året kan være fra 2010 til 2020):</t>
    </r>
  </si>
  <si>
    <r>
      <t xml:space="preserve">Alle </t>
    </r>
    <r>
      <rPr>
        <u/>
        <sz val="11"/>
        <color theme="1"/>
        <rFont val="Calibri"/>
        <family val="2"/>
        <scheme val="minor"/>
      </rPr>
      <t>tiltakskostnadene</t>
    </r>
    <r>
      <rPr>
        <sz val="11"/>
        <color theme="1"/>
        <rFont val="Calibri"/>
        <family val="2"/>
        <scheme val="minor"/>
      </rPr>
      <t xml:space="preserve"> må oppgis av brukeren. Kostnadene oppgis helst med priser fra det samme året som øvrige priser indeksjusteres til (kostnadene indeksjusteres ikke automatisk).</t>
    </r>
  </si>
  <si>
    <r>
      <t xml:space="preserve">Hvis det er behov for å </t>
    </r>
    <r>
      <rPr>
        <u/>
        <sz val="11"/>
        <color theme="1"/>
        <rFont val="Calibri"/>
        <family val="2"/>
        <scheme val="minor"/>
      </rPr>
      <t>endre diskonteringsrente, skattefaktor, eller andre beregningsforutsetninger</t>
    </r>
    <r>
      <rPr>
        <sz val="11"/>
        <color theme="1"/>
        <rFont val="Calibri"/>
        <family val="2"/>
        <scheme val="minor"/>
      </rPr>
      <t xml:space="preserve"> så kan disse endres manuelt i de gule cellene i regnearket 'Data-beregninger' i kolonnene J-M (samt ev. kolonne N for å oppgi årstallet for kostnader/verdsettinger).</t>
    </r>
  </si>
  <si>
    <t>For de fleste tiltak må brukeren oppgi forventede virkninger på f.eks. gjennomsnittsfarten. Veiledende verdier finnes nederst på regnearket i de grønne cellene og (med mer bakgrunnsinformasjon) i rapporten.</t>
  </si>
  <si>
    <t>ingen virkning av reisetidsinformasjon alene på TS, miljø eller reisetid</t>
  </si>
  <si>
    <t>At kjøretøy overholder vikeplikten anses ikke som samføk. kostnad</t>
  </si>
  <si>
    <t>kr. per min.; indeksjustert (0,90 kr. i 2009; basert på 1 empirisk studie fra Norge)</t>
  </si>
  <si>
    <t>kr. per min.; indeksjustert (6,41 kr. i 2009; basert på 1 empirisk studie fra Norge)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</si>
</sst>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 #,##0_ ;_ * \-#,##0_ ;_ * &quot;-&quot;??_ ;_ @_ "/>
    <numFmt numFmtId="165" formatCode="0.000"/>
    <numFmt numFmtId="166" formatCode="0.0"/>
    <numFmt numFmtId="167" formatCode="_ * #,##0.0_ ;_ * \-#,##0.0_ ;_ * &quot;-&quot;??_ ;_ @_ "/>
    <numFmt numFmtId="168" formatCode="_ * #,##0.000_ ;_ * \-#,##0.000_ ;_ * &quot;-&quot;??_ ;_ @_ "/>
    <numFmt numFmtId="169" formatCode="0.0000"/>
    <numFmt numFmtId="170" formatCode="_ * #,##0.000_ ;_ * \-#,##0.000_ ;_ * &quot;-&quot;???_ ;_ @_ "/>
    <numFmt numFmtId="171" formatCode="0.0000000"/>
    <numFmt numFmtId="172" formatCode="0.00000000"/>
    <numFmt numFmtId="173" formatCode="#,##0.00_ ;\-#,##0.00\ "/>
  </numFmts>
  <fonts count="9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11"/>
      <color rgb="FFFF0000"/>
      <name val="Calibri"/>
      <family val="2"/>
      <scheme val="minor"/>
    </font>
    <font>
      <sz val="10"/>
      <name val="Arial"/>
      <family val="2"/>
    </font>
    <font>
      <b/>
      <i/>
      <sz val="11"/>
      <color theme="1"/>
      <name val="Calibri"/>
      <family val="2"/>
      <scheme val="minor"/>
    </font>
    <font>
      <sz val="11"/>
      <color theme="0" tint="-0.34998626667073579"/>
      <name val="Calibri"/>
      <family val="2"/>
      <scheme val="minor"/>
    </font>
    <font>
      <i/>
      <sz val="11"/>
      <color theme="0" tint="-0.34998626667073579"/>
      <name val="Calibri"/>
      <family val="2"/>
      <scheme val="minor"/>
    </font>
    <font>
      <i/>
      <sz val="9"/>
      <color rgb="FFFF0000"/>
      <name val="Calibri"/>
      <family val="2"/>
      <scheme val="minor"/>
    </font>
    <font>
      <b/>
      <sz val="11"/>
      <color theme="0" tint="-0.34998626667073579"/>
      <name val="Calibri"/>
      <family val="2"/>
      <scheme val="minor"/>
    </font>
    <font>
      <sz val="11"/>
      <color theme="6" tint="-0.249977111117893"/>
      <name val="Calibri"/>
      <family val="2"/>
      <scheme val="minor"/>
    </font>
    <font>
      <sz val="11"/>
      <color theme="5" tint="0.39997558519241921"/>
      <name val="Calibri"/>
      <family val="2"/>
      <scheme val="minor"/>
    </font>
    <font>
      <u/>
      <sz val="11"/>
      <color theme="1"/>
      <name val="Calibri"/>
      <family val="2"/>
      <scheme val="minor"/>
    </font>
    <font>
      <b/>
      <u/>
      <sz val="11"/>
      <color theme="1"/>
      <name val="Calibri"/>
      <family val="2"/>
      <scheme val="minor"/>
    </font>
    <font>
      <b/>
      <i/>
      <u/>
      <sz val="11"/>
      <color theme="1"/>
      <name val="Calibri"/>
      <family val="2"/>
      <scheme val="minor"/>
    </font>
    <font>
      <i/>
      <sz val="10"/>
      <color theme="1"/>
      <name val="Arial Narrow"/>
      <family val="2"/>
    </font>
    <font>
      <b/>
      <u/>
      <sz val="16"/>
      <color theme="1"/>
      <name val="Calibri"/>
      <family val="2"/>
      <scheme val="minor"/>
    </font>
    <font>
      <b/>
      <u/>
      <sz val="14"/>
      <color theme="1"/>
      <name val="Calibri"/>
      <family val="2"/>
      <scheme val="minor"/>
    </font>
    <font>
      <b/>
      <u/>
      <sz val="12"/>
      <color theme="1"/>
      <name val="Calibri"/>
      <family val="2"/>
      <scheme val="minor"/>
    </font>
    <font>
      <u/>
      <sz val="12"/>
      <color theme="1"/>
      <name val="Calibri"/>
      <family val="2"/>
      <scheme val="minor"/>
    </font>
    <font>
      <sz val="10"/>
      <color theme="1"/>
      <name val="Calibri"/>
      <family val="2"/>
      <scheme val="minor"/>
    </font>
    <font>
      <sz val="9"/>
      <color theme="1"/>
      <name val="Calibri"/>
      <family val="2"/>
      <scheme val="minor"/>
    </font>
    <font>
      <i/>
      <sz val="11"/>
      <color rgb="FFFF0000"/>
      <name val="Calibri"/>
      <family val="2"/>
      <scheme val="minor"/>
    </font>
    <font>
      <b/>
      <i/>
      <sz val="9"/>
      <color rgb="FFFF0000"/>
      <name val="Calibri"/>
      <family val="2"/>
      <scheme val="minor"/>
    </font>
    <font>
      <b/>
      <sz val="10"/>
      <color theme="1"/>
      <name val="Calibri"/>
      <family val="2"/>
      <scheme val="minor"/>
    </font>
    <font>
      <b/>
      <u/>
      <sz val="10"/>
      <color theme="1"/>
      <name val="Calibri"/>
      <family val="2"/>
      <scheme val="minor"/>
    </font>
    <font>
      <b/>
      <sz val="9"/>
      <color theme="1"/>
      <name val="Calibri"/>
      <family val="2"/>
      <scheme val="minor"/>
    </font>
    <font>
      <b/>
      <u/>
      <sz val="9"/>
      <color theme="1"/>
      <name val="Calibri"/>
      <family val="2"/>
      <scheme val="minor"/>
    </font>
    <font>
      <b/>
      <i/>
      <sz val="9"/>
      <color theme="1"/>
      <name val="Calibri"/>
      <family val="2"/>
      <scheme val="minor"/>
    </font>
    <font>
      <b/>
      <sz val="9"/>
      <color theme="0" tint="-0.34998626667073579"/>
      <name val="Calibri"/>
      <family val="2"/>
      <scheme val="minor"/>
    </font>
    <font>
      <sz val="9"/>
      <color theme="0" tint="-0.34998626667073579"/>
      <name val="Calibri"/>
      <family val="2"/>
      <scheme val="minor"/>
    </font>
    <font>
      <sz val="11"/>
      <color rgb="FF0070C0"/>
      <name val="Calibri"/>
      <family val="2"/>
      <scheme val="minor"/>
    </font>
    <font>
      <b/>
      <sz val="11"/>
      <color rgb="FF0070C0"/>
      <name val="Calibri"/>
      <family val="2"/>
      <scheme val="minor"/>
    </font>
    <font>
      <b/>
      <sz val="9"/>
      <color rgb="FFFF0000"/>
      <name val="Calibri"/>
      <family val="2"/>
      <scheme val="minor"/>
    </font>
    <font>
      <b/>
      <u/>
      <sz val="11"/>
      <name val="Calibri"/>
      <family val="2"/>
      <scheme val="minor"/>
    </font>
    <font>
      <b/>
      <sz val="11"/>
      <name val="Calibri"/>
      <family val="2"/>
      <scheme val="minor"/>
    </font>
    <font>
      <i/>
      <sz val="11"/>
      <name val="Calibri"/>
      <family val="2"/>
      <scheme val="minor"/>
    </font>
    <font>
      <i/>
      <sz val="11"/>
      <color rgb="FF0070C0"/>
      <name val="Calibri"/>
      <family val="2"/>
      <scheme val="minor"/>
    </font>
    <font>
      <b/>
      <sz val="9"/>
      <color rgb="FF0070C0"/>
      <name val="Calibri"/>
      <family val="2"/>
      <scheme val="minor"/>
    </font>
    <font>
      <b/>
      <sz val="11"/>
      <color rgb="FFFF0000"/>
      <name val="Calibri"/>
      <family val="2"/>
      <scheme val="minor"/>
    </font>
    <font>
      <b/>
      <i/>
      <u/>
      <sz val="11"/>
      <name val="Calibri"/>
      <family val="2"/>
      <scheme val="minor"/>
    </font>
    <font>
      <i/>
      <sz val="10"/>
      <color theme="1"/>
      <name val="Calibri"/>
      <family val="2"/>
      <scheme val="minor"/>
    </font>
    <font>
      <b/>
      <u/>
      <sz val="18"/>
      <color theme="1"/>
      <name val="Calibri"/>
      <family val="2"/>
      <scheme val="minor"/>
    </font>
    <font>
      <b/>
      <sz val="18"/>
      <color rgb="FFFF0000"/>
      <name val="Calibri"/>
      <family val="2"/>
      <scheme val="minor"/>
    </font>
    <font>
      <b/>
      <i/>
      <sz val="18"/>
      <color rgb="FFFF0000"/>
      <name val="Calibri"/>
      <family val="2"/>
      <scheme val="minor"/>
    </font>
    <font>
      <sz val="18"/>
      <color rgb="FFFF0000"/>
      <name val="Calibri"/>
      <family val="2"/>
      <scheme val="minor"/>
    </font>
    <font>
      <sz val="18"/>
      <color theme="1"/>
      <name val="Calibri"/>
      <family val="2"/>
      <scheme val="minor"/>
    </font>
    <font>
      <sz val="18"/>
      <color theme="0" tint="-0.34998626667073579"/>
      <name val="Calibri"/>
      <family val="2"/>
      <scheme val="minor"/>
    </font>
    <font>
      <b/>
      <sz val="18"/>
      <color theme="1"/>
      <name val="Calibri"/>
      <family val="2"/>
      <scheme val="minor"/>
    </font>
    <font>
      <b/>
      <u/>
      <sz val="16"/>
      <name val="Calibri"/>
      <family val="2"/>
      <scheme val="minor"/>
    </font>
    <font>
      <u/>
      <sz val="11"/>
      <name val="Calibri"/>
      <family val="2"/>
      <scheme val="minor"/>
    </font>
    <font>
      <b/>
      <sz val="10"/>
      <name val="Calibri"/>
      <family val="2"/>
      <scheme val="minor"/>
    </font>
    <font>
      <u/>
      <sz val="11"/>
      <color theme="0" tint="-0.499984740745262"/>
      <name val="Calibri"/>
      <family val="2"/>
      <scheme val="minor"/>
    </font>
    <font>
      <sz val="11"/>
      <color theme="0" tint="-0.499984740745262"/>
      <name val="Calibri"/>
      <family val="2"/>
      <scheme val="minor"/>
    </font>
    <font>
      <b/>
      <sz val="9"/>
      <name val="Calibri"/>
      <family val="2"/>
      <scheme val="minor"/>
    </font>
    <font>
      <i/>
      <sz val="10"/>
      <color rgb="FFFF0000"/>
      <name val="Calibri"/>
      <family val="2"/>
      <scheme val="minor"/>
    </font>
    <font>
      <b/>
      <sz val="11"/>
      <color theme="3" tint="-0.249977111117893"/>
      <name val="Calibri"/>
      <family val="2"/>
      <scheme val="minor"/>
    </font>
    <font>
      <b/>
      <i/>
      <sz val="11"/>
      <color theme="0" tint="-0.34998626667073579"/>
      <name val="Calibri"/>
      <family val="2"/>
      <scheme val="minor"/>
    </font>
    <font>
      <b/>
      <sz val="11"/>
      <color theme="0" tint="-0.499984740745262"/>
      <name val="Calibri"/>
      <family val="2"/>
      <scheme val="minor"/>
    </font>
    <font>
      <sz val="10"/>
      <color theme="1"/>
      <name val="Arial Narrow"/>
      <family val="2"/>
    </font>
    <font>
      <sz val="9"/>
      <color rgb="FF808080"/>
      <name val="Calibri"/>
      <family val="2"/>
      <scheme val="minor"/>
    </font>
    <font>
      <sz val="11"/>
      <color theme="1" tint="0.499984740745262"/>
      <name val="Calibri"/>
      <family val="2"/>
      <scheme val="minor"/>
    </font>
    <font>
      <sz val="8"/>
      <color theme="1"/>
      <name val="Calibri"/>
      <family val="2"/>
      <scheme val="minor"/>
    </font>
    <font>
      <b/>
      <sz val="11"/>
      <color theme="1" tint="0.499984740745262"/>
      <name val="Calibri"/>
      <family val="2"/>
      <scheme val="minor"/>
    </font>
    <font>
      <b/>
      <u/>
      <sz val="11"/>
      <color theme="1" tint="0.499984740745262"/>
      <name val="Calibri"/>
      <family val="2"/>
      <scheme val="minor"/>
    </font>
    <font>
      <b/>
      <sz val="9"/>
      <color theme="1" tint="0.499984740745262"/>
      <name val="Calibri"/>
      <family val="2"/>
      <scheme val="minor"/>
    </font>
    <font>
      <b/>
      <sz val="14"/>
      <color theme="1"/>
      <name val="Calibri"/>
      <family val="2"/>
      <scheme val="minor"/>
    </font>
    <font>
      <b/>
      <vertAlign val="superscript"/>
      <sz val="11"/>
      <color theme="1"/>
      <name val="Calibri"/>
      <family val="2"/>
      <scheme val="minor"/>
    </font>
    <font>
      <sz val="8"/>
      <color theme="0" tint="-0.499984740745262"/>
      <name val="Calibri"/>
      <family val="2"/>
      <scheme val="minor"/>
    </font>
    <font>
      <i/>
      <sz val="8"/>
      <color theme="0" tint="-0.499984740745262"/>
      <name val="Calibri"/>
      <family val="2"/>
      <scheme val="minor"/>
    </font>
    <font>
      <b/>
      <sz val="8"/>
      <color theme="0" tint="-0.499984740745262"/>
      <name val="Calibri"/>
      <family val="2"/>
      <scheme val="minor"/>
    </font>
    <font>
      <u/>
      <sz val="11"/>
      <color theme="10"/>
      <name val="Calibri"/>
      <family val="2"/>
    </font>
    <font>
      <u/>
      <sz val="11"/>
      <color rgb="FF92D050"/>
      <name val="Calibri"/>
      <family val="2"/>
      <scheme val="minor"/>
    </font>
    <font>
      <b/>
      <sz val="12"/>
      <color theme="1"/>
      <name val="Calibri"/>
      <family val="2"/>
      <scheme val="minor"/>
    </font>
    <font>
      <i/>
      <sz val="9"/>
      <color theme="1"/>
      <name val="Calibri"/>
      <family val="2"/>
      <scheme val="minor"/>
    </font>
    <font>
      <i/>
      <u/>
      <sz val="11"/>
      <color theme="1"/>
      <name val="Calibri"/>
      <family val="2"/>
      <scheme val="minor"/>
    </font>
    <font>
      <i/>
      <sz val="10"/>
      <color rgb="FFFF0000"/>
      <name val="Arial Narrow"/>
      <family val="2"/>
    </font>
    <font>
      <b/>
      <i/>
      <sz val="11"/>
      <color rgb="FFFF0000"/>
      <name val="Calibri"/>
      <family val="2"/>
      <scheme val="minor"/>
    </font>
    <font>
      <b/>
      <u val="singleAccounting"/>
      <sz val="11"/>
      <color theme="1"/>
      <name val="Calibri"/>
      <family val="2"/>
      <scheme val="minor"/>
    </font>
    <font>
      <i/>
      <sz val="9"/>
      <color rgb="FF0070C0"/>
      <name val="Calibri"/>
      <family val="2"/>
      <scheme val="minor"/>
    </font>
    <font>
      <b/>
      <i/>
      <sz val="9"/>
      <name val="Calibri"/>
      <family val="2"/>
      <scheme val="minor"/>
    </font>
    <font>
      <i/>
      <sz val="8"/>
      <color theme="1"/>
      <name val="Calibri"/>
      <family val="2"/>
      <scheme val="minor"/>
    </font>
    <font>
      <b/>
      <sz val="11"/>
      <color theme="3" tint="0.39997558519241921"/>
      <name val="Calibri"/>
      <family val="2"/>
      <scheme val="minor"/>
    </font>
    <font>
      <sz val="11"/>
      <color theme="3" tint="0.39997558519241921"/>
      <name val="Calibri"/>
      <family val="2"/>
      <scheme val="minor"/>
    </font>
    <font>
      <b/>
      <sz val="11"/>
      <color theme="2" tint="-0.499984740745262"/>
      <name val="Calibri"/>
      <family val="2"/>
      <scheme val="minor"/>
    </font>
    <font>
      <sz val="11"/>
      <color theme="2" tint="-0.499984740745262"/>
      <name val="Calibri"/>
      <family val="2"/>
      <scheme val="minor"/>
    </font>
    <font>
      <sz val="9"/>
      <name val="Calibri"/>
      <family val="2"/>
      <scheme val="minor"/>
    </font>
    <font>
      <b/>
      <sz val="11"/>
      <color theme="5" tint="-0.249977111117893"/>
      <name val="Calibri"/>
      <family val="2"/>
      <scheme val="minor"/>
    </font>
    <font>
      <sz val="9"/>
      <color rgb="FFFF0000"/>
      <name val="Calibri"/>
      <family val="2"/>
      <scheme val="minor"/>
    </font>
    <font>
      <sz val="8"/>
      <color rgb="FFFF0000"/>
      <name val="Calibri"/>
      <family val="2"/>
      <scheme val="minor"/>
    </font>
    <font>
      <sz val="8"/>
      <color theme="0" tint="-0.34998626667073579"/>
      <name val="Calibri"/>
      <family val="2"/>
      <scheme val="minor"/>
    </font>
    <font>
      <b/>
      <sz val="8"/>
      <color theme="5" tint="-0.249977111117893"/>
      <name val="Calibri"/>
      <family val="2"/>
      <scheme val="minor"/>
    </font>
    <font>
      <sz val="8"/>
      <color rgb="FF0070C0"/>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gray125">
        <fgColor theme="3" tint="0.39994506668294322"/>
        <bgColor theme="0" tint="-4.9989318521683403E-2"/>
      </patternFill>
    </fill>
    <fill>
      <patternFill patternType="solid">
        <fgColor theme="7" tint="0.39997558519241921"/>
        <bgColor indexed="64"/>
      </patternFill>
    </fill>
    <fill>
      <patternFill patternType="solid">
        <fgColor rgb="FFFFFFB7"/>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rgb="FFFF0000"/>
        <bgColor indexed="64"/>
      </patternFill>
    </fill>
    <fill>
      <patternFill patternType="solid">
        <fgColor rgb="FFFFFF99"/>
        <bgColor indexed="64"/>
      </patternFill>
    </fill>
    <fill>
      <patternFill patternType="solid">
        <fgColor theme="0" tint="-4.9989318521683403E-2"/>
        <bgColor auto="1"/>
      </patternFill>
    </fill>
    <fill>
      <patternFill patternType="solid">
        <fgColor theme="0" tint="-0.34998626667073579"/>
        <bgColor indexed="64"/>
      </patternFill>
    </fill>
  </fills>
  <borders count="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top style="hair">
        <color auto="1"/>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73" fillId="0" borderId="0" applyNumberFormat="0" applyFill="0" applyBorder="0" applyAlignment="0" applyProtection="0">
      <alignment vertical="top"/>
      <protection locked="0"/>
    </xf>
  </cellStyleXfs>
  <cellXfs count="881">
    <xf numFmtId="0" fontId="0" fillId="0" borderId="0" xfId="0"/>
    <xf numFmtId="0" fontId="2" fillId="0" borderId="0" xfId="0" applyFont="1"/>
    <xf numFmtId="0" fontId="0" fillId="2" borderId="0" xfId="0" applyFill="1"/>
    <xf numFmtId="0" fontId="0" fillId="3" borderId="0" xfId="0" applyFill="1"/>
    <xf numFmtId="0" fontId="0" fillId="0" borderId="0" xfId="0" applyFill="1"/>
    <xf numFmtId="0" fontId="0" fillId="4" borderId="0" xfId="0" applyFill="1"/>
    <xf numFmtId="0" fontId="0" fillId="5" borderId="0" xfId="0" applyFill="1"/>
    <xf numFmtId="0" fontId="0" fillId="0" borderId="1" xfId="0" applyBorder="1"/>
    <xf numFmtId="0" fontId="2" fillId="0" borderId="1" xfId="0" applyFont="1" applyBorder="1"/>
    <xf numFmtId="0" fontId="0" fillId="6" borderId="0" xfId="0" applyFill="1"/>
    <xf numFmtId="0" fontId="0" fillId="0" borderId="0" xfId="0" applyProtection="1">
      <protection hidden="1"/>
    </xf>
    <xf numFmtId="0" fontId="0" fillId="0" borderId="0" xfId="0" applyBorder="1" applyProtection="1">
      <protection hidden="1"/>
    </xf>
    <xf numFmtId="0" fontId="0" fillId="12" borderId="0" xfId="0" applyFill="1"/>
    <xf numFmtId="164" fontId="0" fillId="0" borderId="0" xfId="1" applyNumberFormat="1" applyFont="1"/>
    <xf numFmtId="0" fontId="0" fillId="14" borderId="0" xfId="0" applyFill="1"/>
    <xf numFmtId="166" fontId="0" fillId="0" borderId="0" xfId="0" applyNumberFormat="1"/>
    <xf numFmtId="0" fontId="0" fillId="0" borderId="0" xfId="0" applyBorder="1"/>
    <xf numFmtId="0" fontId="2" fillId="0" borderId="0" xfId="0" applyFont="1" applyBorder="1"/>
    <xf numFmtId="0" fontId="0" fillId="0" borderId="0" xfId="0" applyFill="1" applyAlignment="1">
      <alignment vertical="top"/>
    </xf>
    <xf numFmtId="0" fontId="0" fillId="10" borderId="0" xfId="0" applyFill="1" applyAlignment="1">
      <alignment vertical="top"/>
    </xf>
    <xf numFmtId="0" fontId="0" fillId="0" borderId="0" xfId="0" applyAlignment="1">
      <alignment vertical="top"/>
    </xf>
    <xf numFmtId="0" fontId="5" fillId="0" borderId="0" xfId="0" applyFont="1" applyFill="1" applyAlignment="1">
      <alignment vertical="top"/>
    </xf>
    <xf numFmtId="0" fontId="10" fillId="10" borderId="0" xfId="0" applyFont="1" applyFill="1" applyAlignment="1">
      <alignment vertical="top"/>
    </xf>
    <xf numFmtId="0" fontId="8" fillId="10" borderId="0" xfId="0" applyFont="1" applyFill="1" applyAlignment="1">
      <alignment vertical="top"/>
    </xf>
    <xf numFmtId="0" fontId="2" fillId="0" borderId="0" xfId="0" applyFont="1" applyFill="1" applyAlignment="1">
      <alignment vertical="top"/>
    </xf>
    <xf numFmtId="0" fontId="24" fillId="0" borderId="0" xfId="0" applyFont="1" applyFill="1" applyAlignment="1">
      <alignment vertical="top"/>
    </xf>
    <xf numFmtId="0" fontId="0" fillId="2" borderId="0" xfId="0" applyFill="1" applyAlignment="1">
      <alignment vertical="top"/>
    </xf>
    <xf numFmtId="49" fontId="2" fillId="0" borderId="0" xfId="0" applyNumberFormat="1" applyFont="1" applyFill="1" applyAlignment="1">
      <alignment vertical="top"/>
    </xf>
    <xf numFmtId="0" fontId="17" fillId="0" borderId="0" xfId="0" applyFont="1" applyFill="1" applyAlignment="1">
      <alignment vertical="top"/>
    </xf>
    <xf numFmtId="0" fontId="3" fillId="0" borderId="0" xfId="0" applyFont="1" applyFill="1" applyAlignment="1">
      <alignment vertical="top"/>
    </xf>
    <xf numFmtId="1" fontId="16" fillId="0" borderId="0" xfId="0" applyNumberFormat="1" applyFont="1" applyFill="1" applyAlignment="1">
      <alignment horizontal="right" vertical="top"/>
    </xf>
    <xf numFmtId="0" fontId="15" fillId="10" borderId="0" xfId="0" applyFont="1" applyFill="1" applyAlignment="1">
      <alignment vertical="top"/>
    </xf>
    <xf numFmtId="0" fontId="5" fillId="10" borderId="0" xfId="0" applyFont="1" applyFill="1" applyAlignment="1">
      <alignment vertical="top"/>
    </xf>
    <xf numFmtId="0" fontId="2" fillId="10" borderId="0" xfId="0" applyFont="1" applyFill="1" applyAlignment="1">
      <alignment vertical="top"/>
    </xf>
    <xf numFmtId="165" fontId="3" fillId="10" borderId="0" xfId="0" applyNumberFormat="1" applyFont="1" applyFill="1" applyAlignment="1">
      <alignment vertical="top"/>
    </xf>
    <xf numFmtId="168" fontId="9" fillId="10" borderId="0" xfId="1" applyNumberFormat="1" applyFont="1" applyFill="1" applyAlignment="1">
      <alignment vertical="top"/>
    </xf>
    <xf numFmtId="164" fontId="3" fillId="10" borderId="0" xfId="0" applyNumberFormat="1" applyFont="1" applyFill="1" applyAlignment="1">
      <alignment vertical="top"/>
    </xf>
    <xf numFmtId="164" fontId="9" fillId="10" borderId="0" xfId="1" applyNumberFormat="1" applyFont="1" applyFill="1" applyAlignment="1">
      <alignment vertical="top"/>
    </xf>
    <xf numFmtId="164" fontId="9" fillId="10" borderId="0" xfId="0" applyNumberFormat="1" applyFont="1" applyFill="1" applyAlignment="1">
      <alignment vertical="top"/>
    </xf>
    <xf numFmtId="164" fontId="12" fillId="11" borderId="0" xfId="1" applyNumberFormat="1" applyFont="1" applyFill="1" applyAlignment="1">
      <alignment vertical="top"/>
    </xf>
    <xf numFmtId="164" fontId="13" fillId="11" borderId="0" xfId="1" applyNumberFormat="1" applyFont="1" applyFill="1" applyAlignment="1">
      <alignment vertical="top"/>
    </xf>
    <xf numFmtId="165" fontId="8" fillId="10" borderId="0" xfId="0" applyNumberFormat="1" applyFont="1" applyFill="1" applyAlignment="1">
      <alignment vertical="top"/>
    </xf>
    <xf numFmtId="164" fontId="3" fillId="0" borderId="0" xfId="1" applyNumberFormat="1" applyFont="1" applyFill="1" applyAlignment="1">
      <alignment vertical="top"/>
    </xf>
    <xf numFmtId="0" fontId="11" fillId="10" borderId="0" xfId="0" applyFont="1" applyFill="1" applyAlignment="1" applyProtection="1">
      <alignment horizontal="right" vertical="top"/>
      <protection hidden="1"/>
    </xf>
    <xf numFmtId="0" fontId="8" fillId="10" borderId="0" xfId="0" applyFont="1" applyFill="1" applyAlignment="1" applyProtection="1">
      <alignment vertical="top"/>
      <protection hidden="1"/>
    </xf>
    <xf numFmtId="0" fontId="11" fillId="10" borderId="0" xfId="0" applyFont="1" applyFill="1" applyAlignment="1">
      <alignment vertical="top"/>
    </xf>
    <xf numFmtId="168" fontId="8" fillId="10" borderId="0" xfId="1" applyNumberFormat="1" applyFont="1" applyFill="1" applyAlignment="1" applyProtection="1">
      <alignment vertical="top"/>
      <protection hidden="1"/>
    </xf>
    <xf numFmtId="43" fontId="8" fillId="10" borderId="0" xfId="0" applyNumberFormat="1" applyFont="1" applyFill="1" applyAlignment="1">
      <alignment vertical="top"/>
    </xf>
    <xf numFmtId="2" fontId="8" fillId="10" borderId="0" xfId="0" applyNumberFormat="1" applyFont="1" applyFill="1" applyAlignment="1">
      <alignment vertical="top"/>
    </xf>
    <xf numFmtId="0" fontId="0" fillId="0" borderId="0" xfId="0" applyFill="1" applyAlignment="1">
      <alignment vertical="top" wrapText="1"/>
    </xf>
    <xf numFmtId="1" fontId="16" fillId="0" borderId="0" xfId="0" applyNumberFormat="1" applyFont="1" applyFill="1" applyAlignment="1">
      <alignment horizontal="right" vertical="center"/>
    </xf>
    <xf numFmtId="0" fontId="29" fillId="10" borderId="0" xfId="0" applyFont="1" applyFill="1" applyAlignment="1">
      <alignment vertical="top"/>
    </xf>
    <xf numFmtId="49" fontId="28" fillId="0" borderId="0" xfId="0" applyNumberFormat="1" applyFont="1" applyAlignment="1">
      <alignment horizontal="right" vertical="top"/>
    </xf>
    <xf numFmtId="49" fontId="28" fillId="0" borderId="0" xfId="0" applyNumberFormat="1" applyFont="1" applyFill="1" applyAlignment="1">
      <alignment horizontal="right" vertical="top"/>
    </xf>
    <xf numFmtId="0" fontId="23" fillId="0" borderId="0" xfId="0" applyFont="1" applyFill="1" applyAlignment="1">
      <alignment vertical="top"/>
    </xf>
    <xf numFmtId="49" fontId="30" fillId="0" borderId="0" xfId="0" applyNumberFormat="1" applyFont="1" applyFill="1" applyAlignment="1">
      <alignment horizontal="right" vertical="top"/>
    </xf>
    <xf numFmtId="49" fontId="30" fillId="10" borderId="0" xfId="0" applyNumberFormat="1" applyFont="1" applyFill="1" applyAlignment="1">
      <alignment horizontal="right" vertical="top"/>
    </xf>
    <xf numFmtId="49" fontId="28" fillId="10" borderId="0" xfId="0" applyNumberFormat="1" applyFont="1" applyFill="1" applyAlignment="1">
      <alignment horizontal="right" vertical="top"/>
    </xf>
    <xf numFmtId="0" fontId="31" fillId="10" borderId="0" xfId="0" applyFont="1" applyFill="1" applyAlignment="1" applyProtection="1">
      <alignment horizontal="right" vertical="top"/>
      <protection hidden="1"/>
    </xf>
    <xf numFmtId="0" fontId="23" fillId="10" borderId="0" xfId="0" applyFont="1" applyFill="1" applyAlignment="1">
      <alignment vertical="top"/>
    </xf>
    <xf numFmtId="0" fontId="32" fillId="10" borderId="0" xfId="0" applyFont="1" applyFill="1" applyAlignment="1" applyProtection="1">
      <alignment vertical="top"/>
      <protection hidden="1"/>
    </xf>
    <xf numFmtId="49" fontId="31" fillId="10" borderId="0" xfId="0" applyNumberFormat="1" applyFont="1" applyFill="1" applyAlignment="1" applyProtection="1">
      <alignment horizontal="right" vertical="top"/>
      <protection hidden="1"/>
    </xf>
    <xf numFmtId="168" fontId="0" fillId="0" borderId="0" xfId="0" applyNumberFormat="1" applyFill="1" applyAlignment="1">
      <alignment vertical="top"/>
    </xf>
    <xf numFmtId="0" fontId="23" fillId="0" borderId="0" xfId="0" applyFont="1" applyAlignment="1">
      <alignment vertical="top" wrapText="1"/>
    </xf>
    <xf numFmtId="164" fontId="2" fillId="0" borderId="0" xfId="0" applyNumberFormat="1" applyFont="1" applyFill="1" applyAlignment="1">
      <alignment vertical="top"/>
    </xf>
    <xf numFmtId="164" fontId="7" fillId="0" borderId="0" xfId="0" applyNumberFormat="1" applyFont="1" applyFill="1" applyAlignment="1">
      <alignment vertical="top"/>
    </xf>
    <xf numFmtId="0" fontId="0" fillId="0" borderId="0" xfId="0" applyFill="1" applyAlignment="1">
      <alignment vertical="top" wrapText="1"/>
    </xf>
    <xf numFmtId="0" fontId="0" fillId="0" borderId="0" xfId="0" applyAlignment="1">
      <alignment vertical="top" wrapText="1"/>
    </xf>
    <xf numFmtId="0" fontId="0" fillId="0" borderId="0" xfId="0"/>
    <xf numFmtId="164" fontId="0" fillId="0" borderId="0" xfId="0" applyNumberFormat="1" applyFont="1" applyFill="1" applyAlignment="1">
      <alignment vertical="top" wrapText="1"/>
    </xf>
    <xf numFmtId="0" fontId="0" fillId="0" borderId="0" xfId="0" applyFont="1" applyAlignment="1">
      <alignment vertical="top" wrapText="1"/>
    </xf>
    <xf numFmtId="164" fontId="0" fillId="0" borderId="0" xfId="0" applyNumberFormat="1" applyFont="1" applyFill="1" applyAlignment="1">
      <alignment vertical="top"/>
    </xf>
    <xf numFmtId="164" fontId="0" fillId="0" borderId="0" xfId="0" applyNumberFormat="1" applyFill="1" applyAlignment="1">
      <alignment vertical="top"/>
    </xf>
    <xf numFmtId="0" fontId="0" fillId="0" borderId="0" xfId="0" applyFill="1" applyAlignment="1">
      <alignment vertical="top" wrapText="1"/>
    </xf>
    <xf numFmtId="166" fontId="2" fillId="0" borderId="0" xfId="0" applyNumberFormat="1" applyFont="1"/>
    <xf numFmtId="0" fontId="2" fillId="0" borderId="0" xfId="0" applyFont="1" applyAlignment="1">
      <alignment horizontal="left"/>
    </xf>
    <xf numFmtId="0" fontId="2" fillId="0" borderId="0" xfId="0" applyFont="1" applyFill="1" applyAlignment="1">
      <alignment horizontal="left"/>
    </xf>
    <xf numFmtId="165" fontId="8" fillId="10" borderId="0" xfId="0" applyNumberFormat="1" applyFont="1" applyFill="1" applyAlignment="1" applyProtection="1">
      <alignment vertical="top"/>
      <protection hidden="1"/>
    </xf>
    <xf numFmtId="0" fontId="16" fillId="0" borderId="0" xfId="0" applyFont="1" applyFill="1" applyAlignment="1">
      <alignment vertical="top"/>
    </xf>
    <xf numFmtId="0" fontId="16" fillId="0" borderId="0" xfId="0" applyFont="1" applyFill="1" applyAlignment="1">
      <alignment horizontal="center" vertical="top"/>
    </xf>
    <xf numFmtId="0" fontId="4" fillId="0" borderId="0" xfId="0" applyFont="1" applyFill="1" applyAlignment="1">
      <alignment vertical="top"/>
    </xf>
    <xf numFmtId="0" fontId="33" fillId="0" borderId="0" xfId="0" applyFont="1" applyFill="1" applyAlignment="1">
      <alignment vertical="top"/>
    </xf>
    <xf numFmtId="49" fontId="35" fillId="0" borderId="0" xfId="0" applyNumberFormat="1" applyFont="1" applyFill="1" applyAlignment="1">
      <alignment horizontal="right" vertical="top"/>
    </xf>
    <xf numFmtId="49" fontId="25" fillId="10" borderId="0" xfId="0" applyNumberFormat="1" applyFont="1" applyFill="1" applyAlignment="1">
      <alignment horizontal="right" vertical="top"/>
    </xf>
    <xf numFmtId="49" fontId="35" fillId="10" borderId="0" xfId="0" applyNumberFormat="1" applyFont="1" applyFill="1" applyAlignment="1">
      <alignment horizontal="right" vertical="top"/>
    </xf>
    <xf numFmtId="0" fontId="37" fillId="0" borderId="0" xfId="0" applyFont="1" applyFill="1" applyAlignment="1">
      <alignment vertical="top"/>
    </xf>
    <xf numFmtId="0" fontId="4" fillId="2" borderId="0" xfId="0" applyFont="1" applyFill="1" applyAlignment="1">
      <alignment vertical="top"/>
    </xf>
    <xf numFmtId="0" fontId="38" fillId="0" borderId="0" xfId="0" applyFont="1" applyFill="1" applyAlignment="1">
      <alignment vertical="top"/>
    </xf>
    <xf numFmtId="0" fontId="4" fillId="10" borderId="0" xfId="0" applyFont="1" applyFill="1" applyAlignment="1">
      <alignment vertical="top"/>
    </xf>
    <xf numFmtId="0" fontId="39" fillId="0" borderId="0" xfId="0" applyFont="1" applyFill="1" applyAlignment="1">
      <alignment vertical="top"/>
    </xf>
    <xf numFmtId="49" fontId="40" fillId="0" borderId="0" xfId="0" applyNumberFormat="1" applyFont="1" applyFill="1" applyAlignment="1">
      <alignment horizontal="right" vertical="top"/>
    </xf>
    <xf numFmtId="0" fontId="33" fillId="0" borderId="0" xfId="0" applyFont="1" applyAlignment="1">
      <alignment vertical="top" wrapText="1"/>
    </xf>
    <xf numFmtId="0" fontId="33" fillId="0" borderId="0" xfId="0" applyFont="1" applyAlignment="1">
      <alignment vertical="top"/>
    </xf>
    <xf numFmtId="0" fontId="33" fillId="10" borderId="0" xfId="0" applyFont="1" applyFill="1" applyAlignment="1">
      <alignment vertical="top"/>
    </xf>
    <xf numFmtId="164" fontId="16" fillId="0" borderId="0" xfId="1" applyNumberFormat="1" applyFont="1" applyFill="1" applyAlignment="1">
      <alignment vertical="top"/>
    </xf>
    <xf numFmtId="0" fontId="36" fillId="15" borderId="0" xfId="0" applyFont="1" applyFill="1" applyAlignment="1">
      <alignment vertical="top"/>
    </xf>
    <xf numFmtId="0" fontId="37" fillId="15" borderId="0" xfId="0" applyFont="1" applyFill="1" applyAlignment="1">
      <alignment vertical="top"/>
    </xf>
    <xf numFmtId="164" fontId="42" fillId="0" borderId="0" xfId="1" applyNumberFormat="1" applyFont="1" applyFill="1" applyAlignment="1">
      <alignment vertical="top"/>
    </xf>
    <xf numFmtId="2" fontId="4" fillId="6" borderId="0" xfId="0" applyNumberFormat="1" applyFont="1" applyFill="1" applyAlignment="1">
      <alignment vertical="top"/>
    </xf>
    <xf numFmtId="1" fontId="4" fillId="6" borderId="0" xfId="0" applyNumberFormat="1" applyFont="1" applyFill="1" applyAlignment="1">
      <alignment vertical="top"/>
    </xf>
    <xf numFmtId="1" fontId="0" fillId="10" borderId="0" xfId="0" applyNumberFormat="1" applyFill="1" applyAlignment="1">
      <alignment vertical="top"/>
    </xf>
    <xf numFmtId="0" fontId="33" fillId="3" borderId="0" xfId="0" applyFont="1" applyFill="1"/>
    <xf numFmtId="0" fontId="4" fillId="3" borderId="0" xfId="0" applyFont="1" applyFill="1"/>
    <xf numFmtId="165" fontId="0" fillId="0" borderId="0" xfId="0" applyNumberFormat="1"/>
    <xf numFmtId="1" fontId="0" fillId="0" borderId="0" xfId="0" applyNumberFormat="1"/>
    <xf numFmtId="165" fontId="0" fillId="0" borderId="0" xfId="0" applyNumberFormat="1" applyFill="1"/>
    <xf numFmtId="0" fontId="0" fillId="9" borderId="0" xfId="0" applyFill="1"/>
    <xf numFmtId="165" fontId="0" fillId="9" borderId="0" xfId="0" applyNumberFormat="1" applyFill="1"/>
    <xf numFmtId="166" fontId="0" fillId="0" borderId="1" xfId="0" applyNumberFormat="1" applyBorder="1"/>
    <xf numFmtId="165" fontId="0" fillId="0" borderId="1" xfId="0" applyNumberFormat="1" applyBorder="1"/>
    <xf numFmtId="0" fontId="4" fillId="0" borderId="0" xfId="0" applyFont="1"/>
    <xf numFmtId="0" fontId="4" fillId="4" borderId="0" xfId="0" applyFont="1" applyFill="1" applyAlignment="1">
      <alignment vertical="top"/>
    </xf>
    <xf numFmtId="164" fontId="4" fillId="4" borderId="0" xfId="1" applyNumberFormat="1" applyFont="1" applyFill="1" applyAlignment="1">
      <alignment vertical="top"/>
    </xf>
    <xf numFmtId="164" fontId="4" fillId="2" borderId="0" xfId="1" applyNumberFormat="1" applyFont="1" applyFill="1" applyAlignment="1">
      <alignment vertical="top"/>
    </xf>
    <xf numFmtId="0" fontId="2" fillId="0" borderId="0" xfId="0" applyFont="1" applyAlignment="1">
      <alignment horizontal="right"/>
    </xf>
    <xf numFmtId="164" fontId="0" fillId="0" borderId="0" xfId="0" applyNumberFormat="1"/>
    <xf numFmtId="2" fontId="4" fillId="4" borderId="0" xfId="0" applyNumberFormat="1" applyFont="1" applyFill="1" applyAlignment="1">
      <alignment vertical="top"/>
    </xf>
    <xf numFmtId="2" fontId="4" fillId="2" borderId="0" xfId="0" applyNumberFormat="1" applyFont="1" applyFill="1" applyAlignment="1">
      <alignment vertical="top"/>
    </xf>
    <xf numFmtId="43" fontId="4" fillId="2" borderId="0" xfId="1" applyNumberFormat="1" applyFont="1" applyFill="1" applyAlignment="1">
      <alignment vertical="top"/>
    </xf>
    <xf numFmtId="43" fontId="4" fillId="4" borderId="0" xfId="1" applyNumberFormat="1" applyFont="1" applyFill="1" applyAlignment="1">
      <alignment vertical="top"/>
    </xf>
    <xf numFmtId="164" fontId="0" fillId="4" borderId="0" xfId="0" applyNumberFormat="1" applyFill="1"/>
    <xf numFmtId="167" fontId="0" fillId="0" borderId="0" xfId="0" applyNumberFormat="1"/>
    <xf numFmtId="164" fontId="4" fillId="0" borderId="0" xfId="1" applyNumberFormat="1" applyFont="1" applyFill="1" applyAlignment="1">
      <alignment vertical="top"/>
    </xf>
    <xf numFmtId="43" fontId="4" fillId="0" borderId="0" xfId="1" applyNumberFormat="1" applyFont="1" applyFill="1" applyAlignment="1">
      <alignment vertical="top"/>
    </xf>
    <xf numFmtId="43" fontId="0" fillId="0" borderId="0" xfId="0" applyNumberFormat="1" applyFill="1"/>
    <xf numFmtId="165" fontId="2" fillId="0" borderId="0" xfId="0" applyNumberFormat="1" applyFont="1"/>
    <xf numFmtId="2" fontId="7" fillId="0" borderId="0" xfId="0" applyNumberFormat="1" applyFont="1"/>
    <xf numFmtId="167" fontId="0" fillId="0" borderId="0" xfId="1" applyNumberFormat="1" applyFont="1"/>
    <xf numFmtId="164" fontId="2" fillId="0" borderId="0" xfId="1" applyNumberFormat="1" applyFont="1"/>
    <xf numFmtId="167" fontId="2" fillId="0" borderId="0" xfId="0" applyNumberFormat="1" applyFont="1"/>
    <xf numFmtId="0" fontId="2" fillId="9" borderId="0" xfId="0" applyFont="1" applyFill="1"/>
    <xf numFmtId="164" fontId="2" fillId="12" borderId="0" xfId="1" applyNumberFormat="1" applyFont="1" applyFill="1"/>
    <xf numFmtId="0" fontId="20" fillId="10" borderId="0" xfId="0" applyFont="1" applyFill="1" applyAlignment="1">
      <alignment vertical="top"/>
    </xf>
    <xf numFmtId="1" fontId="42" fillId="0" borderId="0" xfId="0" applyNumberFormat="1" applyFont="1" applyFill="1" applyAlignment="1">
      <alignment horizontal="right" vertical="top"/>
    </xf>
    <xf numFmtId="0" fontId="0" fillId="0" borderId="1" xfId="0" applyFill="1" applyBorder="1"/>
    <xf numFmtId="0" fontId="0" fillId="0" borderId="0" xfId="0" applyFill="1" applyAlignment="1">
      <alignment vertical="top" wrapText="1"/>
    </xf>
    <xf numFmtId="2" fontId="10" fillId="10" borderId="0" xfId="0" applyNumberFormat="1" applyFont="1" applyFill="1" applyAlignment="1">
      <alignment vertical="top"/>
    </xf>
    <xf numFmtId="2" fontId="0" fillId="10" borderId="0" xfId="0" applyNumberFormat="1" applyFill="1" applyAlignment="1">
      <alignment vertical="top"/>
    </xf>
    <xf numFmtId="2" fontId="9" fillId="10" borderId="0" xfId="1" applyNumberFormat="1" applyFont="1" applyFill="1" applyAlignment="1">
      <alignment vertical="top"/>
    </xf>
    <xf numFmtId="2" fontId="8" fillId="0" borderId="0" xfId="0" applyNumberFormat="1" applyFont="1" applyFill="1" applyAlignment="1">
      <alignment vertical="top"/>
    </xf>
    <xf numFmtId="2" fontId="0" fillId="0" borderId="0" xfId="0" applyNumberFormat="1" applyFill="1" applyAlignment="1">
      <alignment vertical="top"/>
    </xf>
    <xf numFmtId="2" fontId="8" fillId="10" borderId="0" xfId="0" applyNumberFormat="1" applyFont="1" applyFill="1" applyAlignment="1" applyProtection="1">
      <alignment vertical="top"/>
      <protection hidden="1"/>
    </xf>
    <xf numFmtId="2" fontId="11" fillId="10" borderId="0" xfId="0" applyNumberFormat="1" applyFont="1" applyFill="1" applyAlignment="1" applyProtection="1">
      <alignment horizontal="right" vertical="top"/>
      <protection hidden="1"/>
    </xf>
    <xf numFmtId="2" fontId="11" fillId="10" borderId="0" xfId="0" applyNumberFormat="1" applyFont="1" applyFill="1" applyAlignment="1">
      <alignment vertical="top"/>
    </xf>
    <xf numFmtId="0" fontId="19" fillId="0" borderId="0" xfId="0" applyFont="1" applyFill="1" applyAlignment="1">
      <alignment vertical="top"/>
    </xf>
    <xf numFmtId="0" fontId="20" fillId="0" borderId="0" xfId="0" applyFont="1" applyFill="1" applyAlignment="1">
      <alignment vertical="top"/>
    </xf>
    <xf numFmtId="0" fontId="18" fillId="0" borderId="0" xfId="0" applyFont="1" applyFill="1" applyAlignment="1">
      <alignment vertical="top"/>
    </xf>
    <xf numFmtId="0" fontId="15" fillId="0" borderId="0" xfId="0" applyFont="1" applyFill="1" applyAlignment="1">
      <alignment vertical="top"/>
    </xf>
    <xf numFmtId="0" fontId="20" fillId="0" borderId="0" xfId="0" applyFont="1" applyFill="1" applyAlignment="1"/>
    <xf numFmtId="0" fontId="28" fillId="0" borderId="0" xfId="0" applyFont="1" applyFill="1" applyAlignment="1">
      <alignment vertical="top"/>
    </xf>
    <xf numFmtId="0" fontId="26" fillId="0" borderId="0" xfId="0" applyFont="1" applyFill="1" applyAlignment="1">
      <alignment vertical="top"/>
    </xf>
    <xf numFmtId="0" fontId="27" fillId="0" borderId="0" xfId="0" applyFont="1" applyFill="1" applyAlignment="1">
      <alignment vertical="top"/>
    </xf>
    <xf numFmtId="0" fontId="10" fillId="0" borderId="0" xfId="0" applyFont="1" applyFill="1" applyAlignment="1">
      <alignment vertical="top"/>
    </xf>
    <xf numFmtId="0" fontId="29" fillId="0" borderId="0" xfId="0" applyFont="1" applyFill="1" applyAlignment="1">
      <alignment vertical="top"/>
    </xf>
    <xf numFmtId="0" fontId="25" fillId="0" borderId="0" xfId="0" applyFont="1" applyFill="1" applyAlignment="1">
      <alignment vertical="top"/>
    </xf>
    <xf numFmtId="0" fontId="11" fillId="0" borderId="0" xfId="0" applyFont="1" applyFill="1" applyAlignment="1" applyProtection="1">
      <alignment horizontal="right" vertical="top"/>
      <protection hidden="1"/>
    </xf>
    <xf numFmtId="0" fontId="8" fillId="0" borderId="0" xfId="0" applyFont="1" applyFill="1" applyAlignment="1" applyProtection="1">
      <alignment vertical="top"/>
      <protection hidden="1"/>
    </xf>
    <xf numFmtId="0" fontId="0" fillId="10" borderId="0" xfId="0" applyFill="1" applyAlignment="1">
      <alignment vertical="top" wrapText="1"/>
    </xf>
    <xf numFmtId="164" fontId="42" fillId="10" borderId="0" xfId="1" applyNumberFormat="1" applyFont="1" applyFill="1" applyAlignment="1">
      <alignment vertical="top"/>
    </xf>
    <xf numFmtId="164" fontId="0" fillId="10" borderId="0" xfId="1" applyNumberFormat="1" applyFont="1" applyFill="1" applyAlignment="1">
      <alignment vertical="top"/>
    </xf>
    <xf numFmtId="164" fontId="0" fillId="10" borderId="0" xfId="0" applyNumberFormat="1" applyFill="1" applyAlignment="1">
      <alignment vertical="top"/>
    </xf>
    <xf numFmtId="0" fontId="19" fillId="10" borderId="0" xfId="0" applyFont="1" applyFill="1" applyAlignment="1">
      <alignment vertical="top"/>
    </xf>
    <xf numFmtId="0" fontId="20" fillId="10" borderId="0" xfId="0" applyFont="1" applyFill="1" applyAlignment="1"/>
    <xf numFmtId="0" fontId="28" fillId="10" borderId="0" xfId="0" applyFont="1" applyFill="1" applyAlignment="1">
      <alignment vertical="top"/>
    </xf>
    <xf numFmtId="0" fontId="44" fillId="0" borderId="0" xfId="0" applyFont="1" applyFill="1" applyAlignment="1">
      <alignment vertical="top"/>
    </xf>
    <xf numFmtId="0" fontId="45" fillId="0" borderId="0" xfId="0" applyFont="1" applyFill="1" applyAlignment="1">
      <alignment vertical="top"/>
    </xf>
    <xf numFmtId="164" fontId="45" fillId="0" borderId="0" xfId="0" applyNumberFormat="1" applyFont="1" applyFill="1" applyAlignment="1">
      <alignment vertical="top"/>
    </xf>
    <xf numFmtId="164" fontId="46" fillId="0" borderId="0" xfId="0" applyNumberFormat="1" applyFont="1" applyFill="1" applyAlignment="1">
      <alignment vertical="top"/>
    </xf>
    <xf numFmtId="49" fontId="45" fillId="0" borderId="0" xfId="0" applyNumberFormat="1" applyFont="1" applyFill="1" applyAlignment="1">
      <alignment horizontal="right" vertical="top"/>
    </xf>
    <xf numFmtId="0" fontId="47" fillId="0" borderId="0" xfId="0" applyFont="1" applyFill="1" applyAlignment="1">
      <alignment vertical="top"/>
    </xf>
    <xf numFmtId="0" fontId="48" fillId="0" borderId="0" xfId="0" applyFont="1" applyFill="1" applyAlignment="1">
      <alignment vertical="top"/>
    </xf>
    <xf numFmtId="2" fontId="49" fillId="0" borderId="0" xfId="0" applyNumberFormat="1" applyFont="1" applyFill="1" applyAlignment="1">
      <alignment vertical="top"/>
    </xf>
    <xf numFmtId="2" fontId="48" fillId="0" borderId="0" xfId="0" applyNumberFormat="1" applyFont="1" applyFill="1" applyAlignment="1">
      <alignment vertical="top"/>
    </xf>
    <xf numFmtId="0" fontId="50" fillId="0" borderId="0" xfId="0" applyFont="1" applyFill="1" applyAlignment="1">
      <alignment vertical="top"/>
    </xf>
    <xf numFmtId="0" fontId="23" fillId="0" borderId="0" xfId="0" applyFont="1" applyFill="1" applyAlignment="1">
      <alignment vertical="top" wrapText="1"/>
    </xf>
    <xf numFmtId="2" fontId="10" fillId="0" borderId="0" xfId="0" applyNumberFormat="1" applyFont="1" applyFill="1" applyAlignment="1">
      <alignment vertical="top"/>
    </xf>
    <xf numFmtId="0" fontId="0" fillId="0" borderId="0" xfId="0" applyFill="1" applyAlignment="1">
      <alignment vertical="top" wrapText="1"/>
    </xf>
    <xf numFmtId="0" fontId="0" fillId="0" borderId="0" xfId="0"/>
    <xf numFmtId="0" fontId="5" fillId="0" borderId="0" xfId="0" applyFont="1" applyAlignment="1">
      <alignment vertical="top" wrapText="1"/>
    </xf>
    <xf numFmtId="0" fontId="0" fillId="0" borderId="0" xfId="0" applyAlignment="1">
      <alignment vertical="top"/>
    </xf>
    <xf numFmtId="0" fontId="7" fillId="0" borderId="1" xfId="0" applyFont="1" applyBorder="1" applyAlignment="1">
      <alignment textRotation="60" wrapText="1"/>
    </xf>
    <xf numFmtId="0" fontId="2" fillId="0" borderId="4" xfId="0" applyFont="1" applyBorder="1" applyAlignment="1">
      <alignment vertical="center" wrapText="1"/>
    </xf>
    <xf numFmtId="0" fontId="0" fillId="0" borderId="4" xfId="0" applyFont="1" applyBorder="1" applyAlignment="1">
      <alignment horizontal="center" vertical="center"/>
    </xf>
    <xf numFmtId="0" fontId="2" fillId="0" borderId="5" xfId="0" applyFont="1" applyBorder="1" applyAlignment="1">
      <alignment vertical="center" wrapText="1"/>
    </xf>
    <xf numFmtId="0" fontId="0" fillId="0" borderId="5" xfId="0" applyFont="1" applyBorder="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5" xfId="0" applyBorder="1" applyAlignment="1">
      <alignment vertical="center"/>
    </xf>
    <xf numFmtId="0" fontId="0" fillId="0" borderId="5" xfId="0" applyBorder="1" applyAlignment="1">
      <alignment horizontal="center" vertical="center"/>
    </xf>
    <xf numFmtId="0" fontId="2" fillId="0" borderId="0" xfId="0" applyFont="1" applyBorder="1" applyAlignment="1">
      <alignment vertical="center" wrapText="1"/>
    </xf>
    <xf numFmtId="0" fontId="0" fillId="0" borderId="0" xfId="0" applyFont="1" applyBorder="1" applyAlignment="1">
      <alignment horizontal="center" vertical="center"/>
    </xf>
    <xf numFmtId="0" fontId="0" fillId="0" borderId="0" xfId="0" applyBorder="1" applyAlignment="1">
      <alignment vertical="center"/>
    </xf>
    <xf numFmtId="0" fontId="2" fillId="0" borderId="7" xfId="0" applyFont="1" applyBorder="1" applyAlignment="1">
      <alignment vertical="center" wrapText="1"/>
    </xf>
    <xf numFmtId="0" fontId="0" fillId="0" borderId="7" xfId="0" applyBorder="1" applyAlignment="1">
      <alignment vertical="center"/>
    </xf>
    <xf numFmtId="0" fontId="0" fillId="0" borderId="0" xfId="0" applyAlignment="1"/>
    <xf numFmtId="0" fontId="2" fillId="0" borderId="5" xfId="0" applyFont="1" applyBorder="1" applyAlignment="1">
      <alignment vertical="center"/>
    </xf>
    <xf numFmtId="0" fontId="15" fillId="0" borderId="5" xfId="0" applyFont="1" applyBorder="1" applyAlignment="1">
      <alignment vertical="center"/>
    </xf>
    <xf numFmtId="0" fontId="21" fillId="0" borderId="1" xfId="0" applyFont="1" applyBorder="1" applyAlignment="1"/>
    <xf numFmtId="0" fontId="20" fillId="0" borderId="4" xfId="0" applyFont="1" applyBorder="1" applyAlignment="1">
      <alignment vertical="center"/>
    </xf>
    <xf numFmtId="0" fontId="20" fillId="0" borderId="5" xfId="0" applyFont="1" applyBorder="1" applyAlignment="1">
      <alignment vertical="center"/>
    </xf>
    <xf numFmtId="0" fontId="20" fillId="0" borderId="0" xfId="0" applyFont="1" applyBorder="1" applyAlignment="1">
      <alignment vertical="center"/>
    </xf>
    <xf numFmtId="0" fontId="20" fillId="0" borderId="7" xfId="0" applyFont="1" applyBorder="1" applyAlignment="1">
      <alignment vertical="center"/>
    </xf>
    <xf numFmtId="0" fontId="0" fillId="0" borderId="5" xfId="0" applyBorder="1" applyAlignment="1">
      <alignment horizontal="center" vertical="center" wrapText="1"/>
    </xf>
    <xf numFmtId="0" fontId="21" fillId="0" borderId="0" xfId="0" applyFont="1" applyBorder="1" applyAlignment="1"/>
    <xf numFmtId="0" fontId="15" fillId="0" borderId="5" xfId="0" applyFont="1" applyBorder="1" applyAlignment="1">
      <alignment vertical="center" wrapText="1"/>
    </xf>
    <xf numFmtId="0" fontId="19" fillId="0" borderId="0" xfId="0" applyFont="1" applyAlignment="1"/>
    <xf numFmtId="0" fontId="0" fillId="0" borderId="7" xfId="0" applyBorder="1" applyAlignment="1">
      <alignment horizontal="center" vertical="center" wrapText="1"/>
    </xf>
    <xf numFmtId="0" fontId="19" fillId="0" borderId="0" xfId="0" applyFont="1" applyFill="1" applyAlignment="1"/>
    <xf numFmtId="0" fontId="8" fillId="0" borderId="0" xfId="0" applyFont="1" applyFill="1" applyAlignment="1">
      <alignment vertical="top"/>
    </xf>
    <xf numFmtId="0" fontId="4" fillId="0" borderId="0" xfId="0" applyFont="1" applyAlignment="1">
      <alignment vertical="top" wrapText="1"/>
    </xf>
    <xf numFmtId="0" fontId="53" fillId="0" borderId="0" xfId="0" applyFont="1" applyFill="1" applyAlignment="1">
      <alignment vertical="top"/>
    </xf>
    <xf numFmtId="0" fontId="36" fillId="0" borderId="0" xfId="0" applyFont="1" applyFill="1" applyAlignment="1">
      <alignment vertical="top"/>
    </xf>
    <xf numFmtId="0" fontId="54" fillId="10" borderId="0" xfId="0" applyFont="1" applyFill="1" applyAlignment="1">
      <alignment horizontal="left" vertical="top"/>
    </xf>
    <xf numFmtId="0" fontId="55" fillId="10" borderId="0" xfId="0" applyFont="1" applyFill="1" applyAlignment="1">
      <alignment vertical="top"/>
    </xf>
    <xf numFmtId="164" fontId="2" fillId="14" borderId="0" xfId="0" applyNumberFormat="1" applyFont="1" applyFill="1" applyAlignment="1">
      <alignment horizontal="right"/>
    </xf>
    <xf numFmtId="164" fontId="2" fillId="14" borderId="0" xfId="1" applyNumberFormat="1" applyFont="1" applyFill="1"/>
    <xf numFmtId="0" fontId="15" fillId="0" borderId="0" xfId="0" applyFont="1"/>
    <xf numFmtId="43" fontId="0" fillId="0" borderId="0" xfId="1" applyNumberFormat="1" applyFont="1"/>
    <xf numFmtId="1" fontId="8" fillId="10" borderId="0" xfId="0" applyNumberFormat="1" applyFont="1" applyFill="1" applyAlignment="1">
      <alignment vertical="top"/>
    </xf>
    <xf numFmtId="0" fontId="26" fillId="10" borderId="0" xfId="0" applyFont="1" applyFill="1" applyAlignment="1">
      <alignment vertical="top"/>
    </xf>
    <xf numFmtId="0" fontId="4" fillId="10" borderId="0" xfId="0" applyFont="1" applyFill="1" applyAlignment="1">
      <alignment horizontal="left" vertical="top" wrapText="1"/>
    </xf>
    <xf numFmtId="0" fontId="16" fillId="10" borderId="0" xfId="0" applyFont="1" applyFill="1" applyAlignment="1">
      <alignment horizontal="center" vertical="top"/>
    </xf>
    <xf numFmtId="0" fontId="16" fillId="10" borderId="0" xfId="0" applyFont="1" applyFill="1" applyAlignment="1">
      <alignment vertical="top"/>
    </xf>
    <xf numFmtId="49" fontId="56" fillId="0" borderId="0" xfId="0" applyNumberFormat="1" applyFont="1" applyFill="1" applyAlignment="1">
      <alignment horizontal="right" vertical="top"/>
    </xf>
    <xf numFmtId="49" fontId="56" fillId="10" borderId="0" xfId="0" applyNumberFormat="1" applyFont="1" applyFill="1" applyAlignment="1">
      <alignment horizontal="right" vertical="top"/>
    </xf>
    <xf numFmtId="0" fontId="0" fillId="0" borderId="0" xfId="0" applyFill="1" applyAlignment="1">
      <alignment vertical="top" wrapText="1"/>
    </xf>
    <xf numFmtId="0" fontId="0" fillId="0" borderId="0" xfId="0" applyAlignment="1">
      <alignment vertical="top" wrapText="1"/>
    </xf>
    <xf numFmtId="0" fontId="0" fillId="0" borderId="0" xfId="0" applyFont="1" applyAlignment="1">
      <alignment vertical="top" wrapText="1"/>
    </xf>
    <xf numFmtId="0" fontId="0" fillId="0" borderId="0" xfId="0"/>
    <xf numFmtId="164" fontId="0" fillId="0" borderId="0" xfId="0" applyNumberFormat="1" applyFont="1" applyFill="1" applyAlignment="1">
      <alignment vertical="top" wrapText="1"/>
    </xf>
    <xf numFmtId="0" fontId="0" fillId="10" borderId="0" xfId="0" applyFill="1" applyAlignment="1">
      <alignment vertical="top" wrapText="1"/>
    </xf>
    <xf numFmtId="0" fontId="0" fillId="0" borderId="0" xfId="0" applyAlignment="1">
      <alignment vertical="top"/>
    </xf>
    <xf numFmtId="0" fontId="0" fillId="0" borderId="0" xfId="0" applyFill="1" applyAlignment="1">
      <alignment vertical="top" wrapText="1"/>
    </xf>
    <xf numFmtId="0" fontId="43" fillId="0" borderId="0" xfId="0" applyFont="1" applyFill="1" applyAlignment="1">
      <alignment vertical="top" wrapText="1"/>
    </xf>
    <xf numFmtId="0" fontId="0" fillId="10" borderId="0" xfId="0" applyFill="1" applyAlignment="1">
      <alignment vertical="top" wrapText="1"/>
    </xf>
    <xf numFmtId="0" fontId="0" fillId="0" borderId="0" xfId="0" applyAlignment="1">
      <alignment vertical="top"/>
    </xf>
    <xf numFmtId="164" fontId="16" fillId="0" borderId="0" xfId="1" applyNumberFormat="1" applyFont="1" applyFill="1" applyAlignment="1">
      <alignment vertical="top" wrapText="1"/>
    </xf>
    <xf numFmtId="0" fontId="16" fillId="0" borderId="0" xfId="0" applyFont="1" applyFill="1" applyAlignment="1">
      <alignment vertical="top" wrapText="1"/>
    </xf>
    <xf numFmtId="169" fontId="8" fillId="10" borderId="0" xfId="0" applyNumberFormat="1" applyFont="1" applyFill="1" applyAlignment="1">
      <alignment vertical="top"/>
    </xf>
    <xf numFmtId="171" fontId="8" fillId="10" borderId="0" xfId="0" applyNumberFormat="1" applyFont="1" applyFill="1" applyAlignment="1">
      <alignment vertical="top"/>
    </xf>
    <xf numFmtId="172" fontId="8" fillId="10" borderId="0" xfId="0" applyNumberFormat="1" applyFont="1" applyFill="1" applyAlignment="1" applyProtection="1">
      <alignment vertical="top"/>
      <protection hidden="1"/>
    </xf>
    <xf numFmtId="164" fontId="8" fillId="10" borderId="0" xfId="1" applyNumberFormat="1" applyFont="1" applyFill="1" applyAlignment="1">
      <alignment vertical="top"/>
    </xf>
    <xf numFmtId="164" fontId="8" fillId="0" borderId="0" xfId="1" applyNumberFormat="1" applyFont="1" applyFill="1" applyAlignment="1">
      <alignment vertical="top"/>
    </xf>
    <xf numFmtId="164" fontId="0" fillId="0" borderId="0" xfId="1" applyNumberFormat="1" applyFont="1" applyFill="1" applyAlignment="1">
      <alignment vertical="top"/>
    </xf>
    <xf numFmtId="164" fontId="2" fillId="0" borderId="0" xfId="1" applyNumberFormat="1" applyFont="1" applyFill="1" applyAlignment="1">
      <alignment vertical="top"/>
    </xf>
    <xf numFmtId="164" fontId="2" fillId="10" borderId="0" xfId="1" applyNumberFormat="1" applyFont="1" applyFill="1" applyAlignment="1">
      <alignment vertical="top"/>
    </xf>
    <xf numFmtId="0" fontId="28" fillId="0" borderId="0" xfId="0" applyFont="1" applyFill="1" applyAlignment="1">
      <alignment vertical="center"/>
    </xf>
    <xf numFmtId="0" fontId="20" fillId="0" borderId="0" xfId="0" applyFont="1" applyFill="1" applyAlignment="1">
      <alignment vertical="center"/>
    </xf>
    <xf numFmtId="0" fontId="43" fillId="0" borderId="0" xfId="0" applyFont="1" applyFill="1" applyAlignment="1">
      <alignment vertical="center" wrapText="1"/>
    </xf>
    <xf numFmtId="0" fontId="41" fillId="0" borderId="0" xfId="0" applyFont="1" applyFill="1" applyAlignment="1">
      <alignment horizontal="left" vertical="center"/>
    </xf>
    <xf numFmtId="0" fontId="0" fillId="0" borderId="0" xfId="0" applyFill="1" applyAlignment="1">
      <alignment horizontal="center" vertical="center"/>
    </xf>
    <xf numFmtId="0" fontId="0" fillId="0" borderId="0" xfId="0" applyFill="1" applyAlignment="1">
      <alignment vertical="center"/>
    </xf>
    <xf numFmtId="0" fontId="0" fillId="0" borderId="0" xfId="0" applyFill="1" applyAlignment="1">
      <alignment vertical="center" wrapText="1"/>
    </xf>
    <xf numFmtId="0" fontId="0" fillId="0" borderId="0" xfId="0" applyAlignment="1">
      <alignment vertical="center"/>
    </xf>
    <xf numFmtId="2" fontId="8" fillId="10" borderId="0" xfId="0" applyNumberFormat="1" applyFont="1" applyFill="1" applyAlignment="1">
      <alignment vertical="center"/>
    </xf>
    <xf numFmtId="43" fontId="7" fillId="0" borderId="0" xfId="0" applyNumberFormat="1" applyFont="1" applyFill="1" applyAlignment="1">
      <alignment vertical="top"/>
    </xf>
    <xf numFmtId="43" fontId="0" fillId="0" borderId="0" xfId="0" applyNumberFormat="1" applyFont="1" applyFill="1" applyAlignment="1">
      <alignment vertical="top"/>
    </xf>
    <xf numFmtId="0" fontId="2" fillId="0" borderId="0" xfId="0" applyFont="1" applyFill="1" applyAlignment="1">
      <alignment vertical="center"/>
    </xf>
    <xf numFmtId="0" fontId="2" fillId="0" borderId="0" xfId="0" applyFont="1" applyAlignment="1">
      <alignment vertical="top"/>
    </xf>
    <xf numFmtId="165" fontId="4" fillId="10" borderId="0" xfId="0" applyNumberFormat="1" applyFont="1" applyFill="1" applyAlignment="1">
      <alignment vertical="top"/>
    </xf>
    <xf numFmtId="0" fontId="3" fillId="10" borderId="0" xfId="0" applyFont="1" applyFill="1" applyAlignment="1">
      <alignment vertical="top"/>
    </xf>
    <xf numFmtId="0" fontId="57" fillId="10" borderId="0" xfId="0" applyFont="1" applyFill="1" applyAlignment="1">
      <alignment vertical="top"/>
    </xf>
    <xf numFmtId="0" fontId="0" fillId="16" borderId="0" xfId="0" applyFill="1" applyProtection="1">
      <protection hidden="1"/>
    </xf>
    <xf numFmtId="166" fontId="2" fillId="0" borderId="0" xfId="0" applyNumberFormat="1" applyFont="1" applyFill="1" applyBorder="1" applyAlignment="1" applyProtection="1">
      <alignment horizontal="center"/>
      <protection hidden="1"/>
    </xf>
    <xf numFmtId="0" fontId="0" fillId="0" borderId="0" xfId="0" applyFill="1" applyBorder="1" applyAlignment="1" applyProtection="1">
      <alignment horizontal="center"/>
      <protection hidden="1"/>
    </xf>
    <xf numFmtId="166" fontId="2" fillId="0" borderId="3" xfId="0" applyNumberFormat="1" applyFont="1" applyFill="1" applyBorder="1" applyAlignment="1" applyProtection="1">
      <alignment horizontal="right" wrapText="1"/>
      <protection hidden="1"/>
    </xf>
    <xf numFmtId="2" fontId="59" fillId="10" borderId="0" xfId="1" applyNumberFormat="1" applyFont="1" applyFill="1" applyAlignment="1">
      <alignment vertical="top"/>
    </xf>
    <xf numFmtId="10" fontId="0" fillId="10" borderId="0" xfId="2" applyNumberFormat="1" applyFont="1" applyFill="1" applyAlignment="1">
      <alignment vertical="top"/>
    </xf>
    <xf numFmtId="2" fontId="60" fillId="9" borderId="0" xfId="0" applyNumberFormat="1" applyFont="1" applyFill="1" applyAlignment="1">
      <alignment vertical="top"/>
    </xf>
    <xf numFmtId="0" fontId="43" fillId="0" borderId="0" xfId="0" applyFont="1" applyFill="1" applyAlignment="1">
      <alignment vertical="top" wrapText="1"/>
    </xf>
    <xf numFmtId="0" fontId="0" fillId="10" borderId="0" xfId="0" applyFill="1" applyAlignment="1">
      <alignment vertical="top" wrapText="1"/>
    </xf>
    <xf numFmtId="0" fontId="10" fillId="19" borderId="0" xfId="0" applyFont="1" applyFill="1" applyAlignment="1">
      <alignment vertical="top"/>
    </xf>
    <xf numFmtId="0" fontId="8" fillId="19" borderId="0" xfId="0" applyFont="1" applyFill="1" applyAlignment="1">
      <alignment vertical="top"/>
    </xf>
    <xf numFmtId="0" fontId="0" fillId="19" borderId="0" xfId="0" applyFill="1" applyAlignment="1">
      <alignment vertical="top"/>
    </xf>
    <xf numFmtId="2" fontId="10" fillId="19" borderId="0" xfId="0" applyNumberFormat="1" applyFont="1" applyFill="1" applyAlignment="1">
      <alignment vertical="top"/>
    </xf>
    <xf numFmtId="2" fontId="8" fillId="19" borderId="0" xfId="0" applyNumberFormat="1" applyFont="1" applyFill="1" applyAlignment="1">
      <alignment vertical="top"/>
    </xf>
    <xf numFmtId="2" fontId="0" fillId="19" borderId="0" xfId="0" applyNumberFormat="1" applyFill="1" applyAlignment="1">
      <alignment vertical="top"/>
    </xf>
    <xf numFmtId="165" fontId="8" fillId="19" borderId="0" xfId="0" applyNumberFormat="1" applyFont="1" applyFill="1" applyAlignment="1">
      <alignment vertical="top"/>
    </xf>
    <xf numFmtId="0" fontId="33" fillId="19" borderId="0" xfId="0" applyFont="1" applyFill="1" applyAlignment="1">
      <alignment vertical="top"/>
    </xf>
    <xf numFmtId="0" fontId="54" fillId="19" borderId="0" xfId="0" applyFont="1" applyFill="1" applyAlignment="1">
      <alignment horizontal="left" vertical="top"/>
    </xf>
    <xf numFmtId="0" fontId="55" fillId="19" borderId="0" xfId="0" applyFont="1" applyFill="1" applyAlignment="1">
      <alignment vertical="top"/>
    </xf>
    <xf numFmtId="164" fontId="8" fillId="19" borderId="0" xfId="0" applyNumberFormat="1" applyFont="1" applyFill="1" applyAlignment="1">
      <alignment vertical="top"/>
    </xf>
    <xf numFmtId="164" fontId="9" fillId="19" borderId="0" xfId="1" applyNumberFormat="1" applyFont="1" applyFill="1" applyAlignment="1">
      <alignment vertical="top"/>
    </xf>
    <xf numFmtId="0" fontId="2" fillId="19" borderId="0" xfId="0" applyFont="1" applyFill="1" applyAlignment="1">
      <alignment vertical="top"/>
    </xf>
    <xf numFmtId="164" fontId="8" fillId="19" borderId="0" xfId="1" applyNumberFormat="1" applyFont="1" applyFill="1" applyAlignment="1">
      <alignment vertical="top"/>
    </xf>
    <xf numFmtId="0" fontId="8" fillId="19" borderId="0" xfId="0" applyFont="1" applyFill="1" applyAlignment="1" applyProtection="1">
      <alignment vertical="top"/>
      <protection hidden="1"/>
    </xf>
    <xf numFmtId="0" fontId="11" fillId="19" borderId="0" xfId="0" applyFont="1" applyFill="1" applyAlignment="1" applyProtection="1">
      <alignment horizontal="right" vertical="top"/>
      <protection hidden="1"/>
    </xf>
    <xf numFmtId="0" fontId="11" fillId="19" borderId="0" xfId="0" applyFont="1" applyFill="1" applyAlignment="1">
      <alignment vertical="top"/>
    </xf>
    <xf numFmtId="43" fontId="8" fillId="19" borderId="0" xfId="0" applyNumberFormat="1" applyFont="1" applyFill="1" applyAlignment="1">
      <alignment vertical="top"/>
    </xf>
    <xf numFmtId="165" fontId="8" fillId="19" borderId="0" xfId="0" applyNumberFormat="1" applyFont="1" applyFill="1" applyAlignment="1" applyProtection="1">
      <alignment vertical="top"/>
      <protection hidden="1"/>
    </xf>
    <xf numFmtId="164" fontId="12" fillId="19" borderId="0" xfId="1" applyNumberFormat="1" applyFont="1" applyFill="1" applyAlignment="1">
      <alignment vertical="top"/>
    </xf>
    <xf numFmtId="164" fontId="13" fillId="19" borderId="0" xfId="1" applyNumberFormat="1" applyFont="1" applyFill="1" applyAlignment="1">
      <alignment vertical="top"/>
    </xf>
    <xf numFmtId="0" fontId="43" fillId="0" borderId="0" xfId="0" applyFont="1" applyFill="1" applyAlignment="1">
      <alignment horizontal="left" vertical="center" wrapText="1"/>
    </xf>
    <xf numFmtId="0" fontId="0" fillId="0" borderId="0" xfId="0" applyFill="1" applyAlignment="1">
      <alignment vertical="top" wrapText="1"/>
    </xf>
    <xf numFmtId="0" fontId="0" fillId="0" borderId="0" xfId="0" applyAlignment="1">
      <alignment vertical="top" wrapText="1"/>
    </xf>
    <xf numFmtId="0" fontId="0" fillId="10" borderId="0" xfId="0" applyFill="1" applyAlignment="1">
      <alignment vertical="top" wrapText="1"/>
    </xf>
    <xf numFmtId="0" fontId="0" fillId="0" borderId="0" xfId="0" applyAlignment="1">
      <alignment vertical="top"/>
    </xf>
    <xf numFmtId="0" fontId="0" fillId="0" borderId="0" xfId="0"/>
    <xf numFmtId="0" fontId="0" fillId="0" borderId="0" xfId="0" applyFill="1" applyAlignment="1">
      <alignment vertical="center" wrapText="1"/>
    </xf>
    <xf numFmtId="0" fontId="16" fillId="0" borderId="0" xfId="0" applyFont="1" applyFill="1" applyAlignment="1">
      <alignment horizontal="center"/>
    </xf>
    <xf numFmtId="0" fontId="16" fillId="0" borderId="0" xfId="0" applyFont="1" applyFill="1" applyAlignment="1"/>
    <xf numFmtId="0" fontId="16" fillId="0" borderId="0" xfId="0" applyFont="1" applyFill="1" applyAlignment="1">
      <alignment horizontal="center" wrapText="1"/>
    </xf>
    <xf numFmtId="0" fontId="16" fillId="0" borderId="0" xfId="0" applyFont="1" applyFill="1" applyAlignment="1">
      <alignment wrapText="1"/>
    </xf>
    <xf numFmtId="0" fontId="23" fillId="0" borderId="0" xfId="0" applyFont="1" applyFill="1" applyAlignment="1">
      <alignment horizontal="right" vertical="top" wrapText="1"/>
    </xf>
    <xf numFmtId="0" fontId="23" fillId="0" borderId="0" xfId="0" applyFont="1" applyAlignment="1">
      <alignment horizontal="right" vertical="top" wrapText="1"/>
    </xf>
    <xf numFmtId="164" fontId="28" fillId="0" borderId="0" xfId="0" applyNumberFormat="1" applyFont="1" applyFill="1" applyAlignment="1">
      <alignment horizontal="right" vertical="top"/>
    </xf>
    <xf numFmtId="0" fontId="5" fillId="10" borderId="0" xfId="0" applyFont="1" applyFill="1" applyAlignment="1">
      <alignment horizontal="right" vertical="top"/>
    </xf>
    <xf numFmtId="0" fontId="0" fillId="0" borderId="0" xfId="0" applyFont="1" applyAlignment="1">
      <alignment horizontal="right" vertical="top" wrapText="1"/>
    </xf>
    <xf numFmtId="0" fontId="23" fillId="10" borderId="0" xfId="0" applyFont="1" applyFill="1" applyAlignment="1">
      <alignment horizontal="right" vertical="top"/>
    </xf>
    <xf numFmtId="0" fontId="32" fillId="10" borderId="0" xfId="0" applyFont="1" applyFill="1" applyAlignment="1" applyProtection="1">
      <alignment horizontal="right" vertical="top"/>
      <protection hidden="1"/>
    </xf>
    <xf numFmtId="0" fontId="5" fillId="0" borderId="0" xfId="0" applyFont="1" applyFill="1" applyAlignment="1">
      <alignment horizontal="right" vertical="top"/>
    </xf>
    <xf numFmtId="49" fontId="25" fillId="0" borderId="0" xfId="0" applyNumberFormat="1" applyFont="1" applyFill="1" applyAlignment="1">
      <alignment horizontal="right" vertical="top"/>
    </xf>
    <xf numFmtId="0" fontId="0" fillId="0" borderId="0" xfId="0" applyFont="1" applyFill="1" applyAlignment="1">
      <alignment horizontal="right" vertical="top" wrapText="1"/>
    </xf>
    <xf numFmtId="0" fontId="31" fillId="0" borderId="0" xfId="0" applyFont="1" applyFill="1" applyAlignment="1" applyProtection="1">
      <alignment horizontal="right" vertical="top"/>
      <protection hidden="1"/>
    </xf>
    <xf numFmtId="0" fontId="23" fillId="0" borderId="0" xfId="0" applyFont="1" applyFill="1" applyAlignment="1">
      <alignment horizontal="right" vertical="top"/>
    </xf>
    <xf numFmtId="0" fontId="32" fillId="0" borderId="0" xfId="0" applyFont="1" applyFill="1" applyAlignment="1" applyProtection="1">
      <alignment horizontal="right" vertical="top"/>
      <protection hidden="1"/>
    </xf>
    <xf numFmtId="49" fontId="31" fillId="0" borderId="0" xfId="0" applyNumberFormat="1" applyFont="1" applyFill="1" applyAlignment="1" applyProtection="1">
      <alignment horizontal="right" vertical="top"/>
      <protection hidden="1"/>
    </xf>
    <xf numFmtId="0" fontId="62" fillId="0" borderId="0" xfId="0" applyFont="1" applyAlignment="1">
      <alignment vertical="top"/>
    </xf>
    <xf numFmtId="0" fontId="61" fillId="0" borderId="0" xfId="0" applyFont="1" applyBorder="1" applyAlignment="1">
      <alignment vertical="top" wrapText="1"/>
    </xf>
    <xf numFmtId="0" fontId="0" fillId="10" borderId="0" xfId="0" applyFill="1"/>
    <xf numFmtId="2" fontId="4" fillId="10" borderId="0" xfId="0" applyNumberFormat="1" applyFont="1" applyFill="1" applyAlignment="1">
      <alignment vertical="top"/>
    </xf>
    <xf numFmtId="2" fontId="63" fillId="10" borderId="0" xfId="0" applyNumberFormat="1" applyFont="1" applyFill="1" applyAlignment="1">
      <alignment vertical="top"/>
    </xf>
    <xf numFmtId="0" fontId="63" fillId="10" borderId="0" xfId="0" applyFont="1" applyFill="1"/>
    <xf numFmtId="165" fontId="63" fillId="10" borderId="0" xfId="0" applyNumberFormat="1" applyFont="1" applyFill="1"/>
    <xf numFmtId="164" fontId="63" fillId="10" borderId="0" xfId="1" applyNumberFormat="1" applyFont="1" applyFill="1"/>
    <xf numFmtId="1" fontId="63" fillId="10" borderId="0" xfId="0" applyNumberFormat="1" applyFont="1" applyFill="1"/>
    <xf numFmtId="165" fontId="0" fillId="10" borderId="0" xfId="0" applyNumberFormat="1" applyFill="1" applyAlignment="1">
      <alignment vertical="top"/>
    </xf>
    <xf numFmtId="167" fontId="0" fillId="10" borderId="0" xfId="1" applyNumberFormat="1" applyFont="1" applyFill="1" applyAlignment="1">
      <alignment vertical="top"/>
    </xf>
    <xf numFmtId="0" fontId="0" fillId="0" borderId="0" xfId="0" applyFont="1" applyFill="1" applyAlignment="1">
      <alignment vertical="top"/>
    </xf>
    <xf numFmtId="43" fontId="2" fillId="10" borderId="0" xfId="1" applyNumberFormat="1" applyFont="1" applyFill="1" applyAlignment="1">
      <alignment vertical="top"/>
    </xf>
    <xf numFmtId="49" fontId="28" fillId="0" borderId="0" xfId="0" applyNumberFormat="1" applyFont="1" applyFill="1" applyAlignment="1">
      <alignment horizontal="right" vertical="center"/>
    </xf>
    <xf numFmtId="0" fontId="23" fillId="0" borderId="0" xfId="0" applyFont="1" applyFill="1" applyAlignment="1">
      <alignment vertical="center" wrapText="1"/>
    </xf>
    <xf numFmtId="49" fontId="28" fillId="0" borderId="0" xfId="0" applyNumberFormat="1" applyFont="1" applyAlignment="1">
      <alignment horizontal="right" vertical="center"/>
    </xf>
    <xf numFmtId="49" fontId="28" fillId="10" borderId="0" xfId="0" applyNumberFormat="1" applyFont="1" applyFill="1" applyAlignment="1">
      <alignment horizontal="right" vertical="center"/>
    </xf>
    <xf numFmtId="49" fontId="31" fillId="10" borderId="0" xfId="0" applyNumberFormat="1" applyFont="1" applyFill="1" applyAlignment="1" applyProtection="1">
      <alignment horizontal="right" vertical="center"/>
      <protection hidden="1"/>
    </xf>
    <xf numFmtId="167" fontId="0" fillId="2" borderId="0" xfId="1" applyNumberFormat="1" applyFont="1" applyFill="1" applyAlignment="1">
      <alignment vertical="top"/>
    </xf>
    <xf numFmtId="167" fontId="2" fillId="10" borderId="0" xfId="1" applyNumberFormat="1" applyFont="1" applyFill="1" applyAlignment="1">
      <alignment vertical="top"/>
    </xf>
    <xf numFmtId="167" fontId="23" fillId="10" borderId="0" xfId="1" applyNumberFormat="1" applyFont="1" applyFill="1" applyAlignment="1">
      <alignment vertical="top"/>
    </xf>
    <xf numFmtId="164" fontId="23" fillId="10" borderId="0" xfId="1" applyNumberFormat="1" applyFont="1" applyFill="1" applyAlignment="1">
      <alignment vertical="top"/>
    </xf>
    <xf numFmtId="2" fontId="37" fillId="10" borderId="0" xfId="0" applyNumberFormat="1" applyFont="1" applyFill="1" applyAlignment="1">
      <alignment vertical="top"/>
    </xf>
    <xf numFmtId="164" fontId="64" fillId="10" borderId="0" xfId="1" applyNumberFormat="1" applyFont="1" applyFill="1" applyAlignment="1">
      <alignment vertical="top"/>
    </xf>
    <xf numFmtId="2" fontId="63" fillId="10" borderId="0" xfId="0" applyNumberFormat="1" applyFont="1" applyFill="1" applyAlignment="1" applyProtection="1">
      <alignment vertical="top"/>
      <protection hidden="1"/>
    </xf>
    <xf numFmtId="2" fontId="65" fillId="10" borderId="0" xfId="0" applyNumberFormat="1" applyFont="1" applyFill="1" applyAlignment="1" applyProtection="1">
      <alignment horizontal="right" vertical="top"/>
      <protection hidden="1"/>
    </xf>
    <xf numFmtId="2" fontId="65" fillId="10" borderId="0" xfId="0" applyNumberFormat="1" applyFont="1" applyFill="1" applyAlignment="1">
      <alignment vertical="top"/>
    </xf>
    <xf numFmtId="0" fontId="63" fillId="10" borderId="0" xfId="0" applyFont="1" applyFill="1" applyAlignment="1">
      <alignment vertical="top"/>
    </xf>
    <xf numFmtId="0" fontId="65" fillId="10" borderId="0" xfId="0" applyFont="1" applyFill="1" applyAlignment="1">
      <alignment vertical="top"/>
    </xf>
    <xf numFmtId="43" fontId="63" fillId="10" borderId="0" xfId="0" applyNumberFormat="1" applyFont="1" applyFill="1" applyAlignment="1">
      <alignment vertical="top"/>
    </xf>
    <xf numFmtId="43" fontId="63" fillId="10" borderId="0" xfId="0" applyNumberFormat="1" applyFont="1" applyFill="1"/>
    <xf numFmtId="0" fontId="65" fillId="10" borderId="0" xfId="0" applyFont="1" applyFill="1" applyAlignment="1">
      <alignment horizontal="right" vertical="top"/>
    </xf>
    <xf numFmtId="49" fontId="67" fillId="10" borderId="0" xfId="0" applyNumberFormat="1" applyFont="1" applyFill="1" applyAlignment="1">
      <alignment horizontal="right" vertical="center"/>
    </xf>
    <xf numFmtId="49" fontId="67" fillId="10" borderId="0" xfId="0" applyNumberFormat="1" applyFont="1" applyFill="1" applyAlignment="1">
      <alignment horizontal="right" vertical="top"/>
    </xf>
    <xf numFmtId="1" fontId="63" fillId="10" borderId="0" xfId="0" applyNumberFormat="1" applyFont="1" applyFill="1" applyAlignment="1">
      <alignment vertical="top"/>
    </xf>
    <xf numFmtId="0" fontId="66" fillId="10" borderId="0" xfId="0" applyFont="1" applyFill="1" applyAlignment="1">
      <alignment vertical="top"/>
    </xf>
    <xf numFmtId="0" fontId="16" fillId="0" borderId="0" xfId="0" applyFont="1" applyFill="1" applyAlignment="1">
      <alignment horizontal="left" vertical="top"/>
    </xf>
    <xf numFmtId="0" fontId="16" fillId="0" borderId="0" xfId="0" applyFont="1" applyFill="1" applyAlignment="1">
      <alignment horizontal="left"/>
    </xf>
    <xf numFmtId="166" fontId="0" fillId="10" borderId="0" xfId="0" applyNumberFormat="1" applyFill="1" applyAlignment="1">
      <alignment vertical="top"/>
    </xf>
    <xf numFmtId="1" fontId="16" fillId="0" borderId="0" xfId="0" applyNumberFormat="1" applyFont="1" applyFill="1" applyAlignment="1">
      <alignment horizontal="center" vertical="center"/>
    </xf>
    <xf numFmtId="165" fontId="63" fillId="10" borderId="0" xfId="0" applyNumberFormat="1" applyFont="1" applyFill="1" applyAlignment="1" applyProtection="1">
      <alignment vertical="top"/>
      <protection hidden="1"/>
    </xf>
    <xf numFmtId="0" fontId="2" fillId="0" borderId="1" xfId="0" applyFont="1" applyBorder="1" applyAlignment="1">
      <alignment horizontal="left"/>
    </xf>
    <xf numFmtId="0" fontId="0" fillId="0" borderId="0" xfId="0"/>
    <xf numFmtId="0" fontId="0" fillId="0" borderId="0" xfId="0" applyFill="1" applyAlignment="1">
      <alignment vertical="top" wrapText="1"/>
    </xf>
    <xf numFmtId="0" fontId="0" fillId="0" borderId="0" xfId="0" applyAlignment="1">
      <alignment vertical="top" wrapText="1"/>
    </xf>
    <xf numFmtId="0" fontId="2" fillId="0" borderId="0" xfId="0" applyFont="1" applyFill="1" applyAlignment="1">
      <alignment vertical="top" wrapText="1"/>
    </xf>
    <xf numFmtId="0" fontId="2" fillId="0" borderId="0" xfId="0" applyFont="1" applyAlignment="1">
      <alignment vertical="top" wrapText="1"/>
    </xf>
    <xf numFmtId="0" fontId="0" fillId="0" borderId="0" xfId="0" applyFont="1" applyAlignment="1">
      <alignment vertical="top" wrapText="1"/>
    </xf>
    <xf numFmtId="164" fontId="0" fillId="0" borderId="0" xfId="0" applyNumberFormat="1" applyFill="1" applyAlignment="1">
      <alignment vertical="top" wrapText="1"/>
    </xf>
    <xf numFmtId="0" fontId="0" fillId="0" borderId="0" xfId="0"/>
    <xf numFmtId="0" fontId="0" fillId="10" borderId="0" xfId="0" applyFill="1" applyAlignment="1">
      <alignment vertical="top" wrapText="1"/>
    </xf>
    <xf numFmtId="0" fontId="0" fillId="0" borderId="0" xfId="0" applyAlignment="1">
      <alignment vertical="top"/>
    </xf>
    <xf numFmtId="0" fontId="0" fillId="0" borderId="0" xfId="0" applyAlignment="1">
      <alignment vertical="center" wrapText="1"/>
    </xf>
    <xf numFmtId="0" fontId="4" fillId="0" borderId="0" xfId="0" applyFont="1" applyAlignment="1">
      <alignment vertical="top" wrapText="1"/>
    </xf>
    <xf numFmtId="0" fontId="68" fillId="0" borderId="0" xfId="0" applyFont="1" applyFill="1" applyAlignment="1">
      <alignment vertical="top"/>
    </xf>
    <xf numFmtId="0" fontId="0" fillId="0" borderId="0" xfId="0" applyAlignment="1">
      <alignment wrapText="1"/>
    </xf>
    <xf numFmtId="2" fontId="2" fillId="0" borderId="0" xfId="0" applyNumberFormat="1" applyFont="1" applyFill="1" applyAlignment="1">
      <alignment horizontal="left"/>
    </xf>
    <xf numFmtId="0" fontId="2" fillId="0" borderId="1" xfId="0" applyFont="1" applyFill="1" applyBorder="1" applyAlignment="1">
      <alignment horizontal="left"/>
    </xf>
    <xf numFmtId="0" fontId="2" fillId="0" borderId="0" xfId="0" applyFont="1" applyFill="1" applyAlignment="1">
      <alignment horizontal="left" vertical="top"/>
    </xf>
    <xf numFmtId="166" fontId="0" fillId="9" borderId="0" xfId="0" applyNumberFormat="1" applyFill="1"/>
    <xf numFmtId="0" fontId="3" fillId="0" borderId="0" xfId="0" applyFont="1"/>
    <xf numFmtId="0" fontId="2" fillId="9" borderId="0" xfId="0" applyFont="1" applyFill="1" applyAlignment="1">
      <alignment horizontal="right"/>
    </xf>
    <xf numFmtId="0" fontId="7" fillId="0" borderId="0" xfId="0" applyFont="1"/>
    <xf numFmtId="0" fontId="72" fillId="0" borderId="0" xfId="0" applyFont="1" applyAlignment="1">
      <alignment horizontal="right"/>
    </xf>
    <xf numFmtId="0" fontId="70" fillId="0" borderId="0" xfId="0" applyFont="1"/>
    <xf numFmtId="0" fontId="2" fillId="9" borderId="0" xfId="0" applyFont="1" applyFill="1" applyAlignment="1">
      <alignment horizontal="right" wrapText="1"/>
    </xf>
    <xf numFmtId="166" fontId="0" fillId="0" borderId="0" xfId="0" applyNumberFormat="1" applyFill="1" applyBorder="1" applyAlignment="1" applyProtection="1">
      <alignment horizontal="right"/>
      <protection hidden="1"/>
    </xf>
    <xf numFmtId="166" fontId="0" fillId="0" borderId="1" xfId="0" applyNumberFormat="1" applyFill="1" applyBorder="1" applyAlignment="1" applyProtection="1">
      <alignment horizontal="right"/>
      <protection hidden="1"/>
    </xf>
    <xf numFmtId="0" fontId="0" fillId="0" borderId="0" xfId="0" applyFill="1" applyAlignment="1">
      <alignment vertical="top" wrapText="1"/>
    </xf>
    <xf numFmtId="14" fontId="2" fillId="0" borderId="0" xfId="0" applyNumberFormat="1" applyFont="1" applyFill="1" applyAlignment="1">
      <alignment vertical="top" wrapText="1"/>
    </xf>
    <xf numFmtId="0" fontId="0" fillId="0" borderId="0" xfId="0" applyFont="1" applyAlignment="1">
      <alignment vertical="center" wrapText="1"/>
    </xf>
    <xf numFmtId="14" fontId="2" fillId="0" borderId="0" xfId="0" applyNumberFormat="1" applyFont="1" applyFill="1" applyAlignment="1">
      <alignment vertical="center" wrapText="1"/>
    </xf>
    <xf numFmtId="0" fontId="0" fillId="0" borderId="0" xfId="0" applyFont="1" applyFill="1" applyAlignment="1">
      <alignment vertical="top" wrapText="1"/>
    </xf>
    <xf numFmtId="9" fontId="0" fillId="0" borderId="0" xfId="2" applyFont="1" applyFill="1" applyBorder="1" applyAlignment="1">
      <alignment horizontal="right" vertical="top" wrapText="1"/>
    </xf>
    <xf numFmtId="0" fontId="0" fillId="0" borderId="0" xfId="0" applyBorder="1" applyAlignment="1">
      <alignment vertical="top"/>
    </xf>
    <xf numFmtId="43" fontId="0" fillId="0" borderId="0" xfId="0" applyNumberFormat="1" applyFill="1" applyBorder="1" applyAlignment="1">
      <alignment vertical="top" wrapText="1"/>
    </xf>
    <xf numFmtId="14" fontId="2" fillId="0" borderId="0" xfId="0" applyNumberFormat="1" applyFont="1" applyFill="1" applyAlignment="1">
      <alignment vertical="top"/>
    </xf>
    <xf numFmtId="0" fontId="0" fillId="0" borderId="0" xfId="0" applyFont="1" applyFill="1" applyAlignment="1">
      <alignment horizontal="right" vertical="top"/>
    </xf>
    <xf numFmtId="0" fontId="0" fillId="0" borderId="0" xfId="0" applyFill="1" applyAlignment="1">
      <alignment horizontal="right" vertical="top"/>
    </xf>
    <xf numFmtId="0" fontId="0" fillId="0" borderId="0" xfId="0" applyFill="1" applyAlignment="1">
      <alignment horizontal="right" vertical="top" wrapText="1"/>
    </xf>
    <xf numFmtId="14" fontId="2" fillId="0" borderId="0" xfId="0" applyNumberFormat="1" applyFont="1" applyFill="1" applyAlignment="1">
      <alignment vertical="center"/>
    </xf>
    <xf numFmtId="0" fontId="16" fillId="0" borderId="0" xfId="0" applyFont="1" applyFill="1" applyAlignment="1">
      <alignment horizontal="left" wrapText="1"/>
    </xf>
    <xf numFmtId="49" fontId="23" fillId="0" borderId="0" xfId="0" applyNumberFormat="1" applyFont="1" applyFill="1" applyAlignment="1">
      <alignment horizontal="left" vertical="top"/>
    </xf>
    <xf numFmtId="167" fontId="3" fillId="10" borderId="0" xfId="0" applyNumberFormat="1" applyFont="1" applyFill="1" applyAlignment="1">
      <alignment vertical="top"/>
    </xf>
    <xf numFmtId="43" fontId="3" fillId="10" borderId="0" xfId="0" applyNumberFormat="1" applyFont="1" applyFill="1" applyAlignment="1">
      <alignment vertical="top"/>
    </xf>
    <xf numFmtId="167" fontId="9" fillId="10" borderId="0" xfId="0" applyNumberFormat="1" applyFont="1" applyFill="1" applyAlignment="1">
      <alignment vertical="top"/>
    </xf>
    <xf numFmtId="0" fontId="3" fillId="0" borderId="0" xfId="0" applyFont="1" applyFill="1" applyAlignment="1">
      <alignment vertical="top" wrapText="1"/>
    </xf>
    <xf numFmtId="0" fontId="78" fillId="0" borderId="0" xfId="0" applyFont="1" applyFill="1" applyAlignment="1">
      <alignment vertical="top"/>
    </xf>
    <xf numFmtId="0" fontId="24" fillId="0" borderId="0" xfId="0" applyFont="1" applyAlignment="1">
      <alignment horizontal="left"/>
    </xf>
    <xf numFmtId="43" fontId="0" fillId="0" borderId="0" xfId="1" applyNumberFormat="1" applyFont="1" applyFill="1" applyAlignment="1">
      <alignment vertical="top"/>
    </xf>
    <xf numFmtId="167" fontId="64" fillId="10" borderId="0" xfId="1" applyNumberFormat="1" applyFont="1" applyFill="1" applyAlignment="1">
      <alignment vertical="top"/>
    </xf>
    <xf numFmtId="164" fontId="8" fillId="10" borderId="0" xfId="0" applyNumberFormat="1" applyFont="1" applyFill="1" applyAlignment="1">
      <alignment vertical="top"/>
    </xf>
    <xf numFmtId="0" fontId="8" fillId="10" borderId="0" xfId="0" applyFont="1" applyFill="1" applyAlignment="1">
      <alignment horizontal="right" vertical="top"/>
    </xf>
    <xf numFmtId="0" fontId="55" fillId="10" borderId="0" xfId="0" applyFont="1" applyFill="1" applyAlignment="1">
      <alignment horizontal="right" vertical="top"/>
    </xf>
    <xf numFmtId="0" fontId="0" fillId="7" borderId="0" xfId="0" applyFill="1" applyAlignment="1">
      <alignment horizontal="center" vertical="center" wrapText="1"/>
    </xf>
    <xf numFmtId="0" fontId="0" fillId="7" borderId="0" xfId="0" applyFill="1" applyAlignment="1">
      <alignment horizontal="center" vertical="center"/>
    </xf>
    <xf numFmtId="0" fontId="25" fillId="10" borderId="0" xfId="0" applyFont="1" applyFill="1" applyAlignment="1">
      <alignment vertical="top"/>
    </xf>
    <xf numFmtId="0" fontId="0" fillId="7" borderId="0" xfId="0" applyFont="1" applyFill="1" applyAlignment="1">
      <alignment horizontal="center" vertical="center" wrapText="1"/>
    </xf>
    <xf numFmtId="43" fontId="0" fillId="7" borderId="0" xfId="0" applyNumberFormat="1" applyFill="1" applyAlignment="1">
      <alignment horizontal="center" vertical="top"/>
    </xf>
    <xf numFmtId="164" fontId="0" fillId="0" borderId="0" xfId="0" applyNumberFormat="1" applyFont="1" applyFill="1" applyAlignment="1">
      <alignment horizontal="right" vertical="top"/>
    </xf>
    <xf numFmtId="164" fontId="0" fillId="0" borderId="0" xfId="0" applyNumberFormat="1" applyFill="1" applyAlignment="1">
      <alignment horizontal="right" vertical="top"/>
    </xf>
    <xf numFmtId="0" fontId="0" fillId="0" borderId="0" xfId="0" applyFill="1" applyAlignment="1">
      <alignment vertical="top" wrapText="1"/>
    </xf>
    <xf numFmtId="164" fontId="0" fillId="0" borderId="0" xfId="0" applyNumberFormat="1" applyFill="1" applyAlignment="1">
      <alignment vertical="top" wrapText="1"/>
    </xf>
    <xf numFmtId="0" fontId="0" fillId="0" borderId="0" xfId="0" applyAlignment="1">
      <alignment vertical="top" wrapText="1"/>
    </xf>
    <xf numFmtId="0" fontId="0" fillId="0" borderId="0" xfId="0" applyFont="1" applyAlignment="1">
      <alignment vertical="top" wrapText="1"/>
    </xf>
    <xf numFmtId="0" fontId="0" fillId="0" borderId="0" xfId="0" applyAlignment="1">
      <alignment vertical="center" wrapText="1"/>
    </xf>
    <xf numFmtId="0" fontId="0" fillId="0" borderId="0" xfId="0" applyAlignment="1">
      <alignment vertical="top"/>
    </xf>
    <xf numFmtId="0" fontId="4" fillId="0" borderId="0" xfId="0" applyFont="1" applyAlignment="1">
      <alignment vertical="top" wrapText="1"/>
    </xf>
    <xf numFmtId="0" fontId="0" fillId="0" borderId="0" xfId="0" applyFill="1" applyAlignment="1">
      <alignment vertical="center" wrapText="1"/>
    </xf>
    <xf numFmtId="43" fontId="0" fillId="0" borderId="0" xfId="0" applyNumberFormat="1" applyFill="1" applyAlignment="1">
      <alignment horizontal="center" vertical="top"/>
    </xf>
    <xf numFmtId="0" fontId="2" fillId="10" borderId="0" xfId="0" applyFont="1" applyFill="1" applyAlignment="1">
      <alignment horizontal="left"/>
    </xf>
    <xf numFmtId="0" fontId="2" fillId="10" borderId="0" xfId="0" applyFont="1" applyFill="1"/>
    <xf numFmtId="0" fontId="73" fillId="10" borderId="0" xfId="4" applyFill="1" applyAlignment="1" applyProtection="1"/>
    <xf numFmtId="164" fontId="16" fillId="0" borderId="0" xfId="1" applyNumberFormat="1" applyFont="1" applyFill="1" applyAlignment="1">
      <alignment horizontal="right" vertical="top"/>
    </xf>
    <xf numFmtId="0" fontId="16" fillId="0" borderId="0" xfId="0" applyFont="1" applyFill="1" applyAlignment="1">
      <alignment horizontal="right" vertical="top"/>
    </xf>
    <xf numFmtId="0" fontId="15" fillId="0" borderId="0" xfId="0" applyFont="1" applyFill="1" applyAlignment="1">
      <alignment vertical="center"/>
    </xf>
    <xf numFmtId="0" fontId="0" fillId="7" borderId="0" xfId="0" applyFill="1"/>
    <xf numFmtId="167" fontId="83" fillId="10" borderId="0" xfId="1" applyNumberFormat="1" applyFont="1" applyFill="1" applyAlignment="1">
      <alignment vertical="top"/>
    </xf>
    <xf numFmtId="165" fontId="83" fillId="10" borderId="0" xfId="0" applyNumberFormat="1" applyFont="1" applyFill="1" applyAlignment="1">
      <alignment vertical="top"/>
    </xf>
    <xf numFmtId="168" fontId="0" fillId="10" borderId="0" xfId="0" applyNumberFormat="1" applyFill="1" applyAlignment="1">
      <alignment vertical="top"/>
    </xf>
    <xf numFmtId="0" fontId="84" fillId="10" borderId="0" xfId="0" applyFont="1" applyFill="1"/>
    <xf numFmtId="0" fontId="84" fillId="10" borderId="0" xfId="0" applyFont="1" applyFill="1" applyAlignment="1">
      <alignment horizontal="right" vertical="top"/>
    </xf>
    <xf numFmtId="43" fontId="85" fillId="10" borderId="0" xfId="0" applyNumberFormat="1" applyFont="1" applyFill="1"/>
    <xf numFmtId="43" fontId="85" fillId="10" borderId="0" xfId="0" applyNumberFormat="1" applyFont="1" applyFill="1" applyAlignment="1">
      <alignment vertical="center"/>
    </xf>
    <xf numFmtId="0" fontId="86" fillId="10" borderId="0" xfId="0" applyFont="1" applyFill="1" applyAlignment="1">
      <alignment horizontal="right" vertical="top"/>
    </xf>
    <xf numFmtId="0" fontId="87" fillId="10" borderId="0" xfId="0" applyFont="1" applyFill="1"/>
    <xf numFmtId="2" fontId="87" fillId="10" borderId="0" xfId="0" applyNumberFormat="1" applyFont="1" applyFill="1"/>
    <xf numFmtId="2" fontId="86" fillId="10" borderId="0" xfId="0" applyNumberFormat="1" applyFont="1" applyFill="1" applyAlignment="1">
      <alignment vertical="top"/>
    </xf>
    <xf numFmtId="169" fontId="87" fillId="10" borderId="0" xfId="0" applyNumberFormat="1" applyFont="1" applyFill="1" applyAlignment="1">
      <alignment vertical="top"/>
    </xf>
    <xf numFmtId="0" fontId="89" fillId="10" borderId="0" xfId="0" applyFont="1" applyFill="1" applyAlignment="1">
      <alignment vertical="top"/>
    </xf>
    <xf numFmtId="0" fontId="41" fillId="10" borderId="0" xfId="0" applyFont="1" applyFill="1" applyAlignment="1">
      <alignment horizontal="right" vertical="top"/>
    </xf>
    <xf numFmtId="0" fontId="5" fillId="10" borderId="0" xfId="0" applyFont="1" applyFill="1"/>
    <xf numFmtId="2" fontId="5" fillId="10" borderId="0" xfId="0" applyNumberFormat="1" applyFont="1" applyFill="1"/>
    <xf numFmtId="0" fontId="41" fillId="10" borderId="0" xfId="0" applyFont="1" applyFill="1" applyAlignment="1">
      <alignment vertical="top"/>
    </xf>
    <xf numFmtId="165" fontId="90" fillId="10" borderId="0" xfId="0" applyNumberFormat="1" applyFont="1" applyFill="1" applyAlignment="1">
      <alignment vertical="top"/>
    </xf>
    <xf numFmtId="168" fontId="87" fillId="10" borderId="0" xfId="1" applyNumberFormat="1" applyFont="1" applyFill="1" applyAlignment="1" applyProtection="1">
      <alignment vertical="top"/>
      <protection hidden="1"/>
    </xf>
    <xf numFmtId="0" fontId="86" fillId="10" borderId="0" xfId="0" applyFont="1" applyFill="1" applyAlignment="1" applyProtection="1">
      <alignment vertical="top"/>
      <protection hidden="1"/>
    </xf>
    <xf numFmtId="0" fontId="91" fillId="10" borderId="0" xfId="0" applyFont="1" applyFill="1" applyAlignment="1" applyProtection="1">
      <alignment vertical="top"/>
      <protection hidden="1"/>
    </xf>
    <xf numFmtId="168" fontId="91" fillId="10" borderId="0" xfId="1" applyNumberFormat="1" applyFont="1" applyFill="1" applyAlignment="1" applyProtection="1">
      <alignment vertical="top"/>
      <protection hidden="1"/>
    </xf>
    <xf numFmtId="165" fontId="33" fillId="10" borderId="0" xfId="0" applyNumberFormat="1" applyFont="1" applyFill="1" applyAlignment="1">
      <alignment vertical="top"/>
    </xf>
    <xf numFmtId="2" fontId="11" fillId="10" borderId="0" xfId="0" applyNumberFormat="1" applyFont="1" applyFill="1" applyAlignment="1">
      <alignment horizontal="right" vertical="top"/>
    </xf>
    <xf numFmtId="43" fontId="92" fillId="10" borderId="0" xfId="0" applyNumberFormat="1" applyFont="1" applyFill="1" applyAlignment="1">
      <alignment vertical="top"/>
    </xf>
    <xf numFmtId="168" fontId="8" fillId="18" borderId="0" xfId="1" applyNumberFormat="1" applyFont="1" applyFill="1" applyAlignment="1" applyProtection="1">
      <alignment vertical="top"/>
      <protection hidden="1"/>
    </xf>
    <xf numFmtId="169" fontId="87" fillId="18" borderId="0" xfId="0" applyNumberFormat="1" applyFont="1" applyFill="1" applyAlignment="1">
      <alignment vertical="top"/>
    </xf>
    <xf numFmtId="169" fontId="8" fillId="18" borderId="0" xfId="0" applyNumberFormat="1" applyFont="1" applyFill="1" applyAlignment="1">
      <alignment vertical="top"/>
    </xf>
    <xf numFmtId="168" fontId="8" fillId="10" borderId="0" xfId="0" applyNumberFormat="1" applyFont="1" applyFill="1" applyAlignment="1">
      <alignment vertical="top"/>
    </xf>
    <xf numFmtId="0" fontId="2" fillId="0" borderId="0" xfId="0" applyFont="1" applyFill="1" applyAlignment="1">
      <alignment horizontal="left" vertical="center" wrapText="1"/>
    </xf>
    <xf numFmtId="0" fontId="0" fillId="0" borderId="0" xfId="0" applyFont="1" applyAlignment="1">
      <alignment horizontal="left" vertical="center" wrapText="1"/>
    </xf>
    <xf numFmtId="0" fontId="0" fillId="0" borderId="0" xfId="0" applyFill="1" applyAlignment="1">
      <alignment horizontal="center" vertical="center" wrapText="1"/>
    </xf>
    <xf numFmtId="1" fontId="16" fillId="0" borderId="0" xfId="0" applyNumberFormat="1" applyFont="1" applyFill="1" applyAlignment="1">
      <alignment horizontal="center" wrapText="1"/>
    </xf>
    <xf numFmtId="49" fontId="28" fillId="0" borderId="0" xfId="0" applyNumberFormat="1" applyFont="1" applyFill="1" applyAlignment="1">
      <alignment horizontal="right"/>
    </xf>
    <xf numFmtId="1" fontId="16" fillId="0" borderId="0" xfId="0" applyNumberFormat="1" applyFont="1" applyFill="1" applyAlignment="1">
      <alignment horizontal="left"/>
    </xf>
    <xf numFmtId="0" fontId="0" fillId="0" borderId="0" xfId="0" applyFont="1" applyFill="1" applyAlignment="1">
      <alignment vertical="center" wrapText="1"/>
    </xf>
    <xf numFmtId="0" fontId="15" fillId="0" borderId="0" xfId="0" applyFont="1" applyFill="1" applyBorder="1" applyAlignment="1">
      <alignment horizontal="right" vertical="top" wrapText="1"/>
    </xf>
    <xf numFmtId="9" fontId="0" fillId="10" borderId="0" xfId="2" applyFont="1" applyFill="1" applyBorder="1" applyAlignment="1">
      <alignment horizontal="right" vertical="top" wrapText="1"/>
    </xf>
    <xf numFmtId="168" fontId="34" fillId="10" borderId="0" xfId="0" applyNumberFormat="1" applyFont="1" applyFill="1" applyBorder="1" applyAlignment="1">
      <alignment vertical="top" wrapText="1"/>
    </xf>
    <xf numFmtId="164" fontId="94" fillId="10" borderId="0" xfId="0" applyNumberFormat="1" applyFont="1" applyFill="1" applyAlignment="1">
      <alignment vertical="top"/>
    </xf>
    <xf numFmtId="168" fontId="89" fillId="10" borderId="0" xfId="0" applyNumberFormat="1" applyFont="1" applyFill="1" applyBorder="1" applyAlignment="1">
      <alignment vertical="top" wrapText="1"/>
    </xf>
    <xf numFmtId="164" fontId="93" fillId="10" borderId="0" xfId="0" applyNumberFormat="1" applyFont="1" applyFill="1" applyAlignment="1">
      <alignment vertical="top"/>
    </xf>
    <xf numFmtId="43" fontId="0" fillId="10" borderId="0" xfId="0" applyNumberFormat="1" applyFill="1" applyBorder="1" applyAlignment="1">
      <alignment vertical="top" wrapText="1"/>
    </xf>
    <xf numFmtId="43" fontId="34" fillId="10" borderId="0" xfId="0" applyNumberFormat="1" applyFont="1" applyFill="1" applyBorder="1" applyAlignment="1">
      <alignment vertical="top" wrapText="1"/>
    </xf>
    <xf numFmtId="43" fontId="0" fillId="10" borderId="0" xfId="0" applyNumberFormat="1" applyFill="1" applyBorder="1" applyAlignment="1">
      <alignment vertical="top"/>
    </xf>
    <xf numFmtId="0" fontId="4" fillId="0" borderId="0" xfId="0" applyFont="1" applyFill="1" applyAlignment="1">
      <alignment horizontal="right" vertical="top"/>
    </xf>
    <xf numFmtId="0" fontId="0" fillId="0" borderId="0" xfId="0" applyAlignment="1">
      <alignment wrapText="1"/>
    </xf>
    <xf numFmtId="0" fontId="0" fillId="0" borderId="0" xfId="0" applyAlignment="1">
      <alignment wrapText="1"/>
    </xf>
    <xf numFmtId="0" fontId="0" fillId="0" borderId="0" xfId="0" applyAlignment="1">
      <alignment vertical="top"/>
    </xf>
    <xf numFmtId="0" fontId="15" fillId="20" borderId="0" xfId="0" applyFont="1" applyFill="1" applyAlignment="1">
      <alignment horizontal="left"/>
    </xf>
    <xf numFmtId="0" fontId="15" fillId="20" borderId="0" xfId="0" applyFont="1" applyFill="1"/>
    <xf numFmtId="0" fontId="14" fillId="20" borderId="0" xfId="0" applyFont="1" applyFill="1"/>
    <xf numFmtId="0" fontId="0" fillId="10" borderId="0" xfId="0" applyFont="1" applyFill="1" applyAlignment="1">
      <alignment horizontal="right"/>
    </xf>
    <xf numFmtId="0" fontId="0" fillId="0" borderId="0" xfId="0" applyAlignment="1">
      <alignment vertical="top"/>
    </xf>
    <xf numFmtId="0" fontId="2" fillId="0" borderId="0" xfId="0" applyFont="1" applyFill="1" applyBorder="1" applyAlignment="1">
      <alignment horizontal="right" vertical="top"/>
    </xf>
    <xf numFmtId="0" fontId="2" fillId="0" borderId="0" xfId="0" applyFont="1" applyFill="1" applyBorder="1" applyAlignment="1">
      <alignment vertical="top"/>
    </xf>
    <xf numFmtId="0" fontId="0" fillId="0" borderId="0" xfId="0" applyFill="1" applyBorder="1" applyAlignment="1">
      <alignment horizontal="right" vertical="top" wrapText="1"/>
    </xf>
    <xf numFmtId="0" fontId="0" fillId="0" borderId="0" xfId="0" applyAlignment="1">
      <alignment wrapText="1"/>
    </xf>
    <xf numFmtId="0" fontId="0" fillId="0" borderId="0" xfId="0"/>
    <xf numFmtId="0" fontId="0" fillId="0" borderId="0" xfId="0" applyAlignment="1">
      <alignment wrapText="1"/>
    </xf>
    <xf numFmtId="0" fontId="0" fillId="0" borderId="0" xfId="0" applyAlignment="1">
      <alignment vertical="top"/>
    </xf>
    <xf numFmtId="0" fontId="0" fillId="0" borderId="0" xfId="0" applyFill="1" applyAlignment="1">
      <alignment vertical="top" wrapText="1"/>
    </xf>
    <xf numFmtId="0" fontId="0" fillId="0" borderId="0" xfId="0" applyAlignment="1">
      <alignment wrapText="1"/>
    </xf>
    <xf numFmtId="0" fontId="0" fillId="0" borderId="0" xfId="0" applyAlignment="1">
      <alignment vertical="top"/>
    </xf>
    <xf numFmtId="0" fontId="0" fillId="0" borderId="0" xfId="0"/>
    <xf numFmtId="0" fontId="0" fillId="0" borderId="0" xfId="0" applyAlignment="1">
      <alignment vertical="top"/>
    </xf>
    <xf numFmtId="0" fontId="0" fillId="0" borderId="0" xfId="0"/>
    <xf numFmtId="0" fontId="0" fillId="0" borderId="0" xfId="0" applyAlignment="1">
      <alignment wrapText="1"/>
    </xf>
    <xf numFmtId="0" fontId="2" fillId="0" borderId="0" xfId="0" applyFont="1" applyAlignment="1">
      <alignment horizontal="left" vertical="center"/>
    </xf>
    <xf numFmtId="0" fontId="0" fillId="4" borderId="0" xfId="0" applyFill="1" applyAlignment="1" applyProtection="1">
      <alignment horizontal="center" vertical="top"/>
      <protection locked="0"/>
    </xf>
    <xf numFmtId="0" fontId="0" fillId="4" borderId="0" xfId="0" applyFill="1" applyAlignment="1" applyProtection="1">
      <alignment vertical="top"/>
      <protection locked="0"/>
    </xf>
    <xf numFmtId="0" fontId="0" fillId="2" borderId="0" xfId="0" applyFill="1" applyAlignment="1" applyProtection="1">
      <alignment vertical="top"/>
      <protection locked="0"/>
    </xf>
    <xf numFmtId="164" fontId="0" fillId="4" borderId="0" xfId="1" applyNumberFormat="1" applyFont="1" applyFill="1" applyAlignment="1" applyProtection="1">
      <alignment vertical="top"/>
      <protection locked="0"/>
    </xf>
    <xf numFmtId="164" fontId="0" fillId="2" borderId="0" xfId="1" applyNumberFormat="1" applyFont="1" applyFill="1" applyAlignment="1" applyProtection="1">
      <alignment vertical="top"/>
      <protection locked="0"/>
    </xf>
    <xf numFmtId="164" fontId="0" fillId="4" borderId="0" xfId="1" applyNumberFormat="1" applyFont="1" applyFill="1" applyAlignment="1" applyProtection="1">
      <alignment horizontal="right" vertical="top"/>
      <protection locked="0"/>
    </xf>
    <xf numFmtId="164" fontId="22" fillId="4" borderId="0" xfId="1" applyNumberFormat="1" applyFont="1" applyFill="1" applyAlignment="1" applyProtection="1">
      <alignment horizontal="right" vertical="top"/>
      <protection locked="0"/>
    </xf>
    <xf numFmtId="0" fontId="0" fillId="13" borderId="0" xfId="0" applyFill="1" applyAlignment="1" applyProtection="1">
      <alignment vertical="top"/>
      <protection locked="0"/>
    </xf>
    <xf numFmtId="164" fontId="0" fillId="2" borderId="0" xfId="0" applyNumberFormat="1" applyFill="1" applyBorder="1" applyAlignment="1" applyProtection="1">
      <alignment vertical="top" wrapText="1"/>
      <protection locked="0"/>
    </xf>
    <xf numFmtId="164" fontId="2" fillId="2" borderId="0" xfId="0" applyNumberFormat="1" applyFont="1" applyFill="1" applyAlignment="1" applyProtection="1">
      <alignment vertical="top"/>
      <protection locked="0"/>
    </xf>
    <xf numFmtId="0" fontId="0" fillId="0" borderId="0" xfId="0" applyFill="1" applyAlignment="1" applyProtection="1">
      <alignment vertical="top"/>
      <protection locked="0"/>
    </xf>
    <xf numFmtId="168" fontId="2" fillId="5" borderId="0" xfId="0" applyNumberFormat="1" applyFont="1" applyFill="1" applyAlignment="1" applyProtection="1">
      <alignment vertical="top"/>
      <protection hidden="1"/>
    </xf>
    <xf numFmtId="168" fontId="7" fillId="8" borderId="0" xfId="0" applyNumberFormat="1" applyFont="1" applyFill="1" applyAlignment="1" applyProtection="1">
      <alignment vertical="top"/>
      <protection hidden="1"/>
    </xf>
    <xf numFmtId="167" fontId="0" fillId="6" borderId="0" xfId="0" applyNumberFormat="1" applyFont="1" applyFill="1" applyAlignment="1" applyProtection="1">
      <alignment vertical="top"/>
      <protection hidden="1"/>
    </xf>
    <xf numFmtId="1" fontId="0" fillId="6" borderId="0" xfId="0" applyNumberFormat="1" applyFont="1" applyFill="1" applyAlignment="1" applyProtection="1">
      <alignment vertical="top"/>
      <protection hidden="1"/>
    </xf>
    <xf numFmtId="168" fontId="0" fillId="6" borderId="0" xfId="0" applyNumberFormat="1" applyFont="1" applyFill="1" applyAlignment="1" applyProtection="1">
      <alignment vertical="top"/>
      <protection hidden="1"/>
    </xf>
    <xf numFmtId="165" fontId="4" fillId="6" borderId="0" xfId="0" applyNumberFormat="1" applyFont="1" applyFill="1" applyAlignment="1" applyProtection="1">
      <alignment vertical="top"/>
      <protection hidden="1"/>
    </xf>
    <xf numFmtId="1" fontId="0" fillId="6" borderId="0" xfId="0" applyNumberFormat="1" applyFill="1" applyAlignment="1" applyProtection="1">
      <alignment vertical="top"/>
      <protection hidden="1"/>
    </xf>
    <xf numFmtId="1" fontId="3" fillId="9" borderId="0" xfId="0" applyNumberFormat="1" applyFont="1" applyFill="1" applyAlignment="1" applyProtection="1">
      <alignment vertical="top"/>
      <protection hidden="1"/>
    </xf>
    <xf numFmtId="165" fontId="0" fillId="6" borderId="0" xfId="0" applyNumberFormat="1" applyFill="1" applyAlignment="1" applyProtection="1">
      <alignment vertical="top"/>
      <protection hidden="1"/>
    </xf>
    <xf numFmtId="165" fontId="3" fillId="9" borderId="0" xfId="0" applyNumberFormat="1" applyFont="1" applyFill="1" applyAlignment="1" applyProtection="1">
      <alignment vertical="top"/>
      <protection hidden="1"/>
    </xf>
    <xf numFmtId="168" fontId="37" fillId="5" borderId="0" xfId="0" applyNumberFormat="1" applyFont="1" applyFill="1" applyAlignment="1" applyProtection="1">
      <alignment vertical="top"/>
      <protection hidden="1"/>
    </xf>
    <xf numFmtId="0" fontId="0" fillId="7" borderId="0" xfId="0" applyFont="1" applyFill="1" applyAlignment="1" applyProtection="1">
      <alignment vertical="center" wrapText="1"/>
      <protection hidden="1"/>
    </xf>
    <xf numFmtId="0" fontId="0" fillId="0" borderId="0" xfId="0" applyFont="1" applyAlignment="1" applyProtection="1">
      <alignment vertical="center" wrapText="1"/>
      <protection hidden="1"/>
    </xf>
    <xf numFmtId="0" fontId="2" fillId="0" borderId="0" xfId="0" applyFont="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Fill="1" applyAlignment="1" applyProtection="1">
      <alignment vertical="top"/>
      <protection hidden="1"/>
    </xf>
    <xf numFmtId="164" fontId="2" fillId="0" borderId="0" xfId="0" applyNumberFormat="1" applyFont="1" applyFill="1" applyAlignment="1" applyProtection="1">
      <alignment vertical="top"/>
      <protection hidden="1"/>
    </xf>
    <xf numFmtId="164" fontId="7" fillId="0" borderId="0" xfId="0" applyNumberFormat="1" applyFont="1" applyFill="1" applyAlignment="1" applyProtection="1">
      <alignment vertical="top"/>
      <protection hidden="1"/>
    </xf>
    <xf numFmtId="0" fontId="0" fillId="0" borderId="0" xfId="0" applyFont="1" applyFill="1" applyAlignment="1" applyProtection="1">
      <alignment vertical="top" wrapText="1"/>
      <protection hidden="1"/>
    </xf>
    <xf numFmtId="0" fontId="0" fillId="0" borderId="0" xfId="0" applyFont="1" applyAlignment="1" applyProtection="1">
      <alignment vertical="top" wrapText="1"/>
      <protection hidden="1"/>
    </xf>
    <xf numFmtId="164" fontId="0" fillId="0" borderId="0" xfId="0" applyNumberFormat="1" applyFont="1" applyFill="1" applyAlignment="1" applyProtection="1">
      <alignment vertical="top" wrapText="1"/>
      <protection hidden="1"/>
    </xf>
    <xf numFmtId="164" fontId="0" fillId="0" borderId="0" xfId="0" applyNumberFormat="1" applyFill="1" applyAlignment="1" applyProtection="1">
      <alignment vertical="top" wrapText="1"/>
      <protection hidden="1"/>
    </xf>
    <xf numFmtId="0" fontId="0" fillId="0" borderId="0" xfId="0" applyAlignment="1" applyProtection="1">
      <alignment vertical="top"/>
      <protection hidden="1"/>
    </xf>
    <xf numFmtId="43" fontId="0" fillId="7" borderId="0" xfId="0" applyNumberFormat="1" applyFill="1" applyBorder="1" applyAlignment="1" applyProtection="1">
      <alignment vertical="top" wrapText="1"/>
      <protection hidden="1"/>
    </xf>
    <xf numFmtId="0" fontId="0" fillId="0" borderId="0" xfId="0" applyBorder="1" applyAlignment="1" applyProtection="1">
      <alignment vertical="top"/>
      <protection hidden="1"/>
    </xf>
    <xf numFmtId="43" fontId="0" fillId="10" borderId="0" xfId="0" applyNumberFormat="1" applyFill="1" applyBorder="1" applyAlignment="1" applyProtection="1">
      <alignment vertical="top" wrapText="1"/>
      <protection hidden="1"/>
    </xf>
    <xf numFmtId="0" fontId="2" fillId="10" borderId="0" xfId="0" applyFont="1" applyFill="1" applyProtection="1">
      <protection hidden="1"/>
    </xf>
    <xf numFmtId="168" fontId="34" fillId="10" borderId="0" xfId="0" applyNumberFormat="1" applyFont="1" applyFill="1" applyBorder="1" applyAlignment="1" applyProtection="1">
      <alignment vertical="top" wrapText="1"/>
      <protection hidden="1"/>
    </xf>
    <xf numFmtId="168" fontId="0" fillId="10" borderId="0" xfId="0" applyNumberFormat="1" applyFill="1" applyBorder="1" applyAlignment="1" applyProtection="1">
      <alignment vertical="top" wrapText="1"/>
      <protection hidden="1"/>
    </xf>
    <xf numFmtId="168" fontId="0" fillId="10" borderId="0" xfId="0" applyNumberFormat="1" applyFill="1" applyBorder="1" applyAlignment="1" applyProtection="1">
      <alignment vertical="top"/>
      <protection hidden="1"/>
    </xf>
    <xf numFmtId="168" fontId="89" fillId="10" borderId="0" xfId="0" applyNumberFormat="1" applyFont="1" applyFill="1" applyBorder="1" applyAlignment="1" applyProtection="1">
      <alignment vertical="top" wrapText="1"/>
      <protection hidden="1"/>
    </xf>
    <xf numFmtId="43" fontId="34" fillId="10" borderId="0" xfId="0" applyNumberFormat="1" applyFont="1" applyFill="1" applyBorder="1" applyAlignment="1" applyProtection="1">
      <alignment vertical="top" wrapText="1"/>
      <protection hidden="1"/>
    </xf>
    <xf numFmtId="43" fontId="0" fillId="0" borderId="0" xfId="0" applyNumberFormat="1" applyFill="1" applyBorder="1" applyAlignment="1" applyProtection="1">
      <alignment vertical="top" wrapText="1"/>
      <protection hidden="1"/>
    </xf>
    <xf numFmtId="9" fontId="15" fillId="0" borderId="0" xfId="2" applyFont="1" applyFill="1" applyBorder="1" applyAlignment="1" applyProtection="1">
      <alignment horizontal="right" vertical="top" wrapText="1"/>
      <protection hidden="1"/>
    </xf>
    <xf numFmtId="2" fontId="0" fillId="7" borderId="0" xfId="2" applyNumberFormat="1" applyFont="1" applyFill="1" applyBorder="1" applyAlignment="1" applyProtection="1">
      <alignment horizontal="right" vertical="top" wrapText="1"/>
      <protection hidden="1"/>
    </xf>
    <xf numFmtId="173" fontId="2" fillId="6" borderId="0" xfId="0" applyNumberFormat="1" applyFont="1" applyFill="1" applyAlignment="1" applyProtection="1">
      <alignment vertical="top"/>
      <protection hidden="1"/>
    </xf>
    <xf numFmtId="173" fontId="2" fillId="7" borderId="0" xfId="0" applyNumberFormat="1" applyFont="1" applyFill="1" applyAlignment="1" applyProtection="1">
      <alignment vertical="top"/>
      <protection hidden="1"/>
    </xf>
    <xf numFmtId="49" fontId="2" fillId="7" borderId="0" xfId="0" applyNumberFormat="1" applyFont="1" applyFill="1" applyAlignment="1" applyProtection="1">
      <alignment horizontal="right" vertical="top"/>
      <protection hidden="1"/>
    </xf>
    <xf numFmtId="166" fontId="0" fillId="7" borderId="0" xfId="0" applyNumberFormat="1" applyFont="1" applyFill="1" applyBorder="1" applyAlignment="1" applyProtection="1">
      <alignment vertical="top" wrapText="1"/>
      <protection hidden="1"/>
    </xf>
    <xf numFmtId="0" fontId="0" fillId="7" borderId="0" xfId="0" applyFont="1" applyFill="1" applyAlignment="1" applyProtection="1">
      <alignment vertical="top" wrapText="1"/>
      <protection hidden="1"/>
    </xf>
    <xf numFmtId="164" fontId="0" fillId="2" borderId="0" xfId="1" applyNumberFormat="1" applyFont="1" applyFill="1" applyAlignment="1" applyProtection="1">
      <alignment horizontal="right" vertical="top"/>
      <protection locked="0"/>
    </xf>
    <xf numFmtId="164" fontId="4" fillId="2" borderId="0" xfId="1" applyNumberFormat="1" applyFont="1" applyFill="1" applyAlignment="1" applyProtection="1">
      <alignment vertical="top"/>
      <protection locked="0"/>
    </xf>
    <xf numFmtId="166" fontId="0" fillId="2" borderId="0" xfId="0" applyNumberFormat="1" applyFill="1" applyAlignment="1" applyProtection="1">
      <alignment vertical="top"/>
      <protection locked="0"/>
    </xf>
    <xf numFmtId="164" fontId="0" fillId="18" borderId="0" xfId="1" applyNumberFormat="1" applyFont="1" applyFill="1" applyAlignment="1" applyProtection="1">
      <alignment vertical="top"/>
      <protection locked="0"/>
    </xf>
    <xf numFmtId="0" fontId="4" fillId="2" borderId="0" xfId="0" applyFont="1" applyFill="1" applyAlignment="1" applyProtection="1">
      <alignment vertical="top"/>
      <protection locked="0"/>
    </xf>
    <xf numFmtId="1" fontId="4" fillId="6" borderId="0" xfId="0" applyNumberFormat="1" applyFont="1" applyFill="1" applyAlignment="1" applyProtection="1">
      <alignment vertical="top"/>
      <protection hidden="1"/>
    </xf>
    <xf numFmtId="1" fontId="4" fillId="9" borderId="0" xfId="0" applyNumberFormat="1" applyFont="1" applyFill="1" applyAlignment="1" applyProtection="1">
      <alignment vertical="top"/>
      <protection hidden="1"/>
    </xf>
    <xf numFmtId="1" fontId="0" fillId="10" borderId="0" xfId="0" applyNumberFormat="1" applyFill="1" applyAlignment="1" applyProtection="1">
      <alignment vertical="top"/>
      <protection hidden="1"/>
    </xf>
    <xf numFmtId="1" fontId="16" fillId="0" borderId="0" xfId="0" applyNumberFormat="1" applyFont="1" applyFill="1" applyAlignment="1" applyProtection="1">
      <alignment horizontal="right" vertical="top"/>
      <protection hidden="1"/>
    </xf>
    <xf numFmtId="1" fontId="42" fillId="0" borderId="0" xfId="0" applyNumberFormat="1" applyFont="1" applyFill="1" applyAlignment="1" applyProtection="1">
      <alignment horizontal="right"/>
      <protection hidden="1"/>
    </xf>
    <xf numFmtId="0" fontId="16" fillId="0" borderId="0" xfId="0" applyFont="1" applyAlignment="1" applyProtection="1">
      <alignment horizontal="right"/>
      <protection hidden="1"/>
    </xf>
    <xf numFmtId="166" fontId="4" fillId="6" borderId="0" xfId="0" applyNumberFormat="1" applyFont="1" applyFill="1" applyAlignment="1" applyProtection="1">
      <alignment vertical="top"/>
      <protection hidden="1"/>
    </xf>
    <xf numFmtId="0" fontId="0" fillId="10" borderId="0" xfId="0" applyFill="1" applyAlignment="1" applyProtection="1">
      <alignment vertical="top"/>
      <protection hidden="1"/>
    </xf>
    <xf numFmtId="165" fontId="83" fillId="10" borderId="0" xfId="0" applyNumberFormat="1" applyFont="1" applyFill="1" applyAlignment="1" applyProtection="1">
      <alignment vertical="top"/>
      <protection hidden="1"/>
    </xf>
    <xf numFmtId="167" fontId="83" fillId="10" borderId="0" xfId="1" applyNumberFormat="1" applyFont="1" applyFill="1" applyAlignment="1" applyProtection="1">
      <alignment vertical="top"/>
      <protection hidden="1"/>
    </xf>
    <xf numFmtId="164" fontId="3" fillId="0" borderId="0" xfId="1" applyNumberFormat="1" applyFont="1" applyFill="1" applyAlignment="1" applyProtection="1">
      <alignment vertical="top"/>
      <protection hidden="1"/>
    </xf>
    <xf numFmtId="164" fontId="0" fillId="6" borderId="0" xfId="0" applyNumberFormat="1" applyFill="1" applyBorder="1" applyAlignment="1" applyProtection="1">
      <alignment vertical="top" wrapText="1"/>
      <protection hidden="1"/>
    </xf>
    <xf numFmtId="0" fontId="0" fillId="7" borderId="0" xfId="0" applyFont="1" applyFill="1" applyAlignment="1" applyProtection="1">
      <alignment horizontal="center" vertical="center" wrapText="1"/>
      <protection hidden="1"/>
    </xf>
    <xf numFmtId="164" fontId="0" fillId="0" borderId="0" xfId="0" applyNumberFormat="1" applyFont="1" applyFill="1" applyAlignment="1" applyProtection="1">
      <alignment vertical="top"/>
      <protection hidden="1"/>
    </xf>
    <xf numFmtId="168" fontId="7" fillId="0" borderId="0" xfId="0" applyNumberFormat="1" applyFont="1" applyFill="1" applyAlignment="1" applyProtection="1">
      <alignment vertical="top"/>
      <protection hidden="1"/>
    </xf>
    <xf numFmtId="168" fontId="2" fillId="0" borderId="0" xfId="0" applyNumberFormat="1" applyFont="1" applyFill="1" applyAlignment="1" applyProtection="1">
      <alignment vertical="top"/>
      <protection hidden="1"/>
    </xf>
    <xf numFmtId="0" fontId="0" fillId="4" borderId="0" xfId="0" applyFill="1" applyAlignment="1" applyProtection="1">
      <alignment horizontal="right" vertical="top"/>
      <protection locked="0"/>
    </xf>
    <xf numFmtId="0" fontId="0" fillId="2" borderId="0" xfId="0" applyFill="1" applyAlignment="1" applyProtection="1">
      <alignment vertical="top" wrapText="1"/>
      <protection locked="0"/>
    </xf>
    <xf numFmtId="43" fontId="0" fillId="2" borderId="0" xfId="1" applyNumberFormat="1" applyFont="1" applyFill="1" applyAlignment="1" applyProtection="1">
      <alignment vertical="top"/>
      <protection locked="0"/>
    </xf>
    <xf numFmtId="166" fontId="4" fillId="9" borderId="0" xfId="0" applyNumberFormat="1" applyFont="1" applyFill="1" applyAlignment="1" applyProtection="1">
      <alignment vertical="top"/>
      <protection hidden="1"/>
    </xf>
    <xf numFmtId="1" fontId="42" fillId="0" borderId="0" xfId="0" applyNumberFormat="1" applyFont="1" applyFill="1" applyAlignment="1" applyProtection="1">
      <alignment horizontal="right" vertical="top"/>
      <protection hidden="1"/>
    </xf>
    <xf numFmtId="164" fontId="79" fillId="0" borderId="0" xfId="0" applyNumberFormat="1" applyFont="1" applyFill="1" applyAlignment="1" applyProtection="1">
      <alignment vertical="top"/>
      <protection hidden="1"/>
    </xf>
    <xf numFmtId="165" fontId="3" fillId="10" borderId="0" xfId="0" applyNumberFormat="1" applyFont="1" applyFill="1" applyAlignment="1" applyProtection="1">
      <alignment vertical="top"/>
      <protection hidden="1"/>
    </xf>
    <xf numFmtId="167" fontId="3" fillId="10" borderId="0" xfId="1" applyNumberFormat="1" applyFont="1" applyFill="1" applyAlignment="1" applyProtection="1">
      <alignment vertical="top"/>
      <protection hidden="1"/>
    </xf>
    <xf numFmtId="0" fontId="0" fillId="0" borderId="0" xfId="0" applyFill="1" applyProtection="1">
      <protection locked="0"/>
    </xf>
    <xf numFmtId="0" fontId="0" fillId="2" borderId="0" xfId="0" applyFill="1" applyAlignment="1" applyProtection="1">
      <alignment horizontal="right"/>
      <protection locked="0"/>
    </xf>
    <xf numFmtId="0" fontId="62" fillId="2" borderId="0" xfId="0" applyFont="1" applyFill="1" applyAlignment="1" applyProtection="1">
      <alignment vertical="top"/>
      <protection locked="0"/>
    </xf>
    <xf numFmtId="167" fontId="0" fillId="2" borderId="0" xfId="1" applyNumberFormat="1" applyFont="1" applyFill="1" applyAlignment="1" applyProtection="1">
      <alignment vertical="top"/>
      <protection locked="0"/>
    </xf>
    <xf numFmtId="2" fontId="4" fillId="6" borderId="0" xfId="0" applyNumberFormat="1" applyFont="1" applyFill="1" applyAlignment="1" applyProtection="1">
      <alignment vertical="top"/>
      <protection hidden="1"/>
    </xf>
    <xf numFmtId="2" fontId="4" fillId="9" borderId="0" xfId="0" applyNumberFormat="1" applyFont="1" applyFill="1" applyAlignment="1" applyProtection="1">
      <alignment vertical="top"/>
      <protection hidden="1"/>
    </xf>
    <xf numFmtId="164" fontId="4" fillId="6" borderId="0" xfId="1" applyNumberFormat="1" applyFont="1" applyFill="1" applyAlignment="1" applyProtection="1">
      <alignment vertical="top"/>
      <protection hidden="1"/>
    </xf>
    <xf numFmtId="165" fontId="0" fillId="6" borderId="0" xfId="0" applyNumberFormat="1" applyFont="1" applyFill="1" applyAlignment="1" applyProtection="1">
      <alignment vertical="top"/>
      <protection hidden="1"/>
    </xf>
    <xf numFmtId="168" fontId="0" fillId="0" borderId="0" xfId="0" applyNumberFormat="1" applyFont="1" applyFill="1" applyAlignment="1" applyProtection="1">
      <alignment vertical="top"/>
      <protection hidden="1"/>
    </xf>
    <xf numFmtId="168" fontId="0" fillId="0" borderId="0" xfId="0" applyNumberFormat="1" applyAlignment="1" applyProtection="1">
      <alignment vertical="top"/>
      <protection hidden="1"/>
    </xf>
    <xf numFmtId="43" fontId="2" fillId="7" borderId="0" xfId="0" applyNumberFormat="1" applyFont="1" applyFill="1" applyAlignment="1" applyProtection="1">
      <alignment vertical="top"/>
      <protection hidden="1"/>
    </xf>
    <xf numFmtId="2" fontId="0" fillId="7" borderId="0" xfId="0" applyNumberFormat="1" applyFill="1" applyAlignment="1" applyProtection="1">
      <alignment vertical="top"/>
      <protection hidden="1"/>
    </xf>
    <xf numFmtId="164" fontId="0" fillId="7" borderId="0" xfId="0" applyNumberFormat="1" applyFill="1" applyAlignment="1" applyProtection="1">
      <alignment horizontal="center" vertical="top"/>
      <protection hidden="1"/>
    </xf>
    <xf numFmtId="164" fontId="0" fillId="7" borderId="0" xfId="1" applyNumberFormat="1" applyFont="1" applyFill="1" applyAlignment="1" applyProtection="1">
      <alignment vertical="center"/>
      <protection hidden="1"/>
    </xf>
    <xf numFmtId="43" fontId="0" fillId="4" borderId="0" xfId="1" applyNumberFormat="1" applyFont="1" applyFill="1" applyAlignment="1" applyProtection="1">
      <alignment vertical="top"/>
      <protection locked="0"/>
    </xf>
    <xf numFmtId="164" fontId="0" fillId="2" borderId="0" xfId="1" applyNumberFormat="1" applyFont="1" applyFill="1" applyAlignment="1" applyProtection="1">
      <alignment vertical="center"/>
      <protection locked="0"/>
    </xf>
    <xf numFmtId="43" fontId="0" fillId="7" borderId="0" xfId="1" applyNumberFormat="1" applyFont="1" applyFill="1" applyAlignment="1" applyProtection="1">
      <alignment vertical="center"/>
      <protection hidden="1"/>
    </xf>
    <xf numFmtId="0" fontId="0" fillId="4" borderId="0" xfId="0" applyFill="1" applyAlignment="1" applyProtection="1">
      <alignment horizontal="left" wrapText="1"/>
      <protection locked="0"/>
    </xf>
    <xf numFmtId="0" fontId="0" fillId="4" borderId="0" xfId="0" applyFont="1" applyFill="1" applyAlignment="1" applyProtection="1">
      <alignment horizontal="right" vertical="center"/>
      <protection hidden="1"/>
    </xf>
    <xf numFmtId="0" fontId="37" fillId="10" borderId="0" xfId="0" applyFont="1" applyFill="1" applyProtection="1">
      <protection hidden="1"/>
    </xf>
    <xf numFmtId="0" fontId="2" fillId="0" borderId="0" xfId="0" applyFont="1" applyProtection="1">
      <protection hidden="1"/>
    </xf>
    <xf numFmtId="0" fontId="76" fillId="0" borderId="0" xfId="0" applyFont="1" applyProtection="1">
      <protection hidden="1"/>
    </xf>
    <xf numFmtId="0" fontId="58" fillId="17" borderId="0" xfId="0" applyFont="1" applyFill="1" applyProtection="1">
      <protection hidden="1"/>
    </xf>
    <xf numFmtId="0" fontId="30" fillId="0" borderId="0" xfId="0" applyFont="1" applyAlignment="1" applyProtection="1">
      <alignment horizontal="right"/>
      <protection hidden="1"/>
    </xf>
    <xf numFmtId="0" fontId="2" fillId="0" borderId="0" xfId="0" applyFont="1" applyFill="1" applyProtection="1">
      <protection hidden="1"/>
    </xf>
    <xf numFmtId="0" fontId="2" fillId="0" borderId="0" xfId="0" applyFont="1" applyAlignment="1" applyProtection="1">
      <alignment horizontal="right"/>
      <protection hidden="1"/>
    </xf>
    <xf numFmtId="0" fontId="0" fillId="0" borderId="0" xfId="0" applyFill="1" applyProtection="1">
      <protection hidden="1"/>
    </xf>
    <xf numFmtId="0" fontId="2" fillId="9" borderId="0" xfId="0" applyFont="1" applyFill="1" applyAlignment="1" applyProtection="1">
      <alignment horizontal="left"/>
      <protection hidden="1"/>
    </xf>
    <xf numFmtId="0" fontId="0" fillId="9" borderId="0" xfId="0" applyFill="1" applyProtection="1">
      <protection hidden="1"/>
    </xf>
    <xf numFmtId="0" fontId="76" fillId="9" borderId="0" xfId="0" applyFont="1" applyFill="1" applyProtection="1">
      <protection hidden="1"/>
    </xf>
    <xf numFmtId="0" fontId="0" fillId="9" borderId="0" xfId="0" applyFill="1" applyBorder="1" applyProtection="1">
      <protection hidden="1"/>
    </xf>
    <xf numFmtId="0" fontId="76" fillId="0" borderId="0" xfId="0" applyFont="1" applyFill="1" applyProtection="1">
      <protection hidden="1"/>
    </xf>
    <xf numFmtId="0" fontId="2" fillId="16" borderId="0" xfId="0" applyFont="1" applyFill="1" applyProtection="1">
      <protection hidden="1"/>
    </xf>
    <xf numFmtId="166" fontId="2" fillId="16" borderId="0" xfId="0" applyNumberFormat="1" applyFont="1" applyFill="1" applyProtection="1">
      <protection hidden="1"/>
    </xf>
    <xf numFmtId="0" fontId="2"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vertical="top"/>
      <protection hidden="1"/>
    </xf>
    <xf numFmtId="0" fontId="76" fillId="20" borderId="0" xfId="0" applyFont="1" applyFill="1" applyProtection="1">
      <protection hidden="1"/>
    </xf>
    <xf numFmtId="0" fontId="0" fillId="20" borderId="0" xfId="0" applyFill="1" applyBorder="1" applyProtection="1">
      <protection hidden="1"/>
    </xf>
    <xf numFmtId="0" fontId="2" fillId="9" borderId="0" xfId="0" applyFont="1" applyFill="1" applyProtection="1">
      <protection hidden="1"/>
    </xf>
    <xf numFmtId="0" fontId="2" fillId="0" borderId="3" xfId="0" applyFont="1" applyFill="1" applyBorder="1" applyProtection="1">
      <protection hidden="1"/>
    </xf>
    <xf numFmtId="0" fontId="2" fillId="0" borderId="3" xfId="0" applyFont="1" applyFill="1" applyBorder="1" applyAlignment="1" applyProtection="1">
      <alignment horizontal="right"/>
      <protection hidden="1"/>
    </xf>
    <xf numFmtId="164" fontId="0" fillId="0" borderId="0" xfId="1" applyNumberFormat="1" applyFont="1" applyFill="1" applyAlignment="1" applyProtection="1">
      <alignment vertical="top"/>
      <protection hidden="1"/>
    </xf>
    <xf numFmtId="166" fontId="76" fillId="0" borderId="0" xfId="0" applyNumberFormat="1" applyFont="1" applyFill="1" applyProtection="1">
      <protection hidden="1"/>
    </xf>
    <xf numFmtId="166" fontId="0" fillId="0" borderId="0" xfId="0" applyNumberFormat="1" applyFill="1" applyProtection="1">
      <protection hidden="1"/>
    </xf>
    <xf numFmtId="0" fontId="2" fillId="0" borderId="1" xfId="0" applyFont="1" applyFill="1" applyBorder="1" applyProtection="1">
      <protection hidden="1"/>
    </xf>
    <xf numFmtId="0" fontId="0" fillId="0" borderId="1" xfId="0" applyFont="1" applyFill="1" applyBorder="1" applyProtection="1">
      <protection hidden="1"/>
    </xf>
    <xf numFmtId="164" fontId="0" fillId="0" borderId="1" xfId="1" applyNumberFormat="1" applyFont="1" applyFill="1" applyBorder="1" applyProtection="1">
      <protection hidden="1"/>
    </xf>
    <xf numFmtId="164" fontId="2" fillId="0" borderId="1" xfId="1" applyNumberFormat="1" applyFont="1" applyFill="1" applyBorder="1" applyAlignment="1" applyProtection="1">
      <alignment vertical="top"/>
      <protection hidden="1"/>
    </xf>
    <xf numFmtId="0" fontId="0" fillId="16" borderId="0" xfId="0" applyFont="1" applyFill="1" applyProtection="1">
      <protection hidden="1"/>
    </xf>
    <xf numFmtId="0" fontId="0" fillId="0" borderId="2" xfId="0" applyBorder="1" applyProtection="1">
      <protection hidden="1"/>
    </xf>
    <xf numFmtId="0" fontId="2" fillId="0" borderId="2" xfId="0" applyFont="1" applyBorder="1" applyProtection="1">
      <protection hidden="1"/>
    </xf>
    <xf numFmtId="0" fontId="2" fillId="0" borderId="2" xfId="0" applyFont="1" applyBorder="1" applyAlignment="1" applyProtection="1">
      <alignment horizontal="right"/>
      <protection hidden="1"/>
    </xf>
    <xf numFmtId="0" fontId="0" fillId="0" borderId="1" xfId="0" applyBorder="1" applyProtection="1">
      <protection hidden="1"/>
    </xf>
    <xf numFmtId="0" fontId="2" fillId="0" borderId="1" xfId="0" applyFont="1" applyBorder="1" applyProtection="1">
      <protection hidden="1"/>
    </xf>
    <xf numFmtId="0" fontId="2" fillId="0" borderId="1" xfId="0" applyFont="1" applyBorder="1" applyAlignment="1" applyProtection="1">
      <alignment horizontal="right" wrapText="1"/>
      <protection hidden="1"/>
    </xf>
    <xf numFmtId="49" fontId="0" fillId="0" borderId="0" xfId="0" applyNumberFormat="1" applyFill="1" applyProtection="1">
      <protection hidden="1"/>
    </xf>
    <xf numFmtId="165" fontId="0" fillId="0" borderId="0" xfId="0" applyNumberFormat="1" applyFill="1" applyProtection="1">
      <protection hidden="1"/>
    </xf>
    <xf numFmtId="49" fontId="0" fillId="0" borderId="1" xfId="0" applyNumberFormat="1" applyFill="1" applyBorder="1" applyProtection="1">
      <protection hidden="1"/>
    </xf>
    <xf numFmtId="165" fontId="0" fillId="0" borderId="1" xfId="0" applyNumberFormat="1" applyFill="1" applyBorder="1" applyProtection="1">
      <protection hidden="1"/>
    </xf>
    <xf numFmtId="0" fontId="0" fillId="0" borderId="1" xfId="0" applyFill="1" applyBorder="1" applyProtection="1">
      <protection hidden="1"/>
    </xf>
    <xf numFmtId="49" fontId="0" fillId="0" borderId="0" xfId="0" applyNumberFormat="1" applyFill="1" applyBorder="1" applyProtection="1">
      <protection hidden="1"/>
    </xf>
    <xf numFmtId="165" fontId="0" fillId="0" borderId="0" xfId="0" applyNumberFormat="1" applyFill="1" applyBorder="1" applyProtection="1">
      <protection hidden="1"/>
    </xf>
    <xf numFmtId="0" fontId="0" fillId="0" borderId="0" xfId="0" applyFill="1" applyBorder="1" applyProtection="1">
      <protection hidden="1"/>
    </xf>
    <xf numFmtId="0" fontId="2" fillId="0" borderId="0" xfId="0" applyFont="1" applyBorder="1" applyProtection="1">
      <protection hidden="1"/>
    </xf>
    <xf numFmtId="0" fontId="0" fillId="0" borderId="3" xfId="0" applyBorder="1" applyProtection="1">
      <protection hidden="1"/>
    </xf>
    <xf numFmtId="0" fontId="2" fillId="0" borderId="3" xfId="0" applyFont="1" applyBorder="1" applyAlignment="1" applyProtection="1">
      <alignment horizontal="right" wrapText="1"/>
      <protection hidden="1"/>
    </xf>
    <xf numFmtId="0" fontId="2" fillId="0" borderId="2" xfId="0" applyFont="1" applyFill="1" applyBorder="1" applyProtection="1">
      <protection hidden="1"/>
    </xf>
    <xf numFmtId="9" fontId="0" fillId="0" borderId="0" xfId="2" applyFont="1" applyBorder="1" applyProtection="1">
      <protection hidden="1"/>
    </xf>
    <xf numFmtId="9" fontId="0" fillId="0" borderId="1" xfId="2" applyFont="1" applyBorder="1" applyProtection="1">
      <protection hidden="1"/>
    </xf>
    <xf numFmtId="9" fontId="0" fillId="20" borderId="0" xfId="2" applyFont="1" applyFill="1" applyBorder="1" applyProtection="1">
      <protection hidden="1"/>
    </xf>
    <xf numFmtId="0" fontId="0" fillId="0" borderId="2" xfId="0" applyFill="1" applyBorder="1" applyProtection="1">
      <protection hidden="1"/>
    </xf>
    <xf numFmtId="0" fontId="2" fillId="0" borderId="2" xfId="0" applyFont="1" applyFill="1" applyBorder="1" applyAlignment="1" applyProtection="1">
      <alignment horizontal="right"/>
      <protection hidden="1"/>
    </xf>
    <xf numFmtId="0" fontId="2" fillId="0" borderId="0" xfId="0" applyFont="1" applyFill="1" applyBorder="1" applyProtection="1">
      <protection hidden="1"/>
    </xf>
    <xf numFmtId="0" fontId="76" fillId="0" borderId="0" xfId="0" applyFont="1" applyFill="1" applyBorder="1" applyProtection="1">
      <protection hidden="1"/>
    </xf>
    <xf numFmtId="0" fontId="0" fillId="16" borderId="2" xfId="0" applyFill="1" applyBorder="1" applyProtection="1">
      <protection hidden="1"/>
    </xf>
    <xf numFmtId="0" fontId="2" fillId="0" borderId="1" xfId="0" applyFont="1" applyFill="1" applyBorder="1" applyAlignment="1" applyProtection="1">
      <alignment horizontal="right"/>
      <protection hidden="1"/>
    </xf>
    <xf numFmtId="0" fontId="2" fillId="0" borderId="0" xfId="0" applyFont="1" applyFill="1" applyBorder="1" applyAlignment="1" applyProtection="1">
      <alignment horizontal="right"/>
      <protection hidden="1"/>
    </xf>
    <xf numFmtId="166" fontId="0" fillId="0" borderId="0" xfId="0" applyNumberFormat="1" applyFill="1" applyAlignment="1" applyProtection="1">
      <alignment horizontal="right"/>
      <protection hidden="1"/>
    </xf>
    <xf numFmtId="0" fontId="0" fillId="0" borderId="0" xfId="0" applyFill="1" applyBorder="1" applyAlignment="1" applyProtection="1">
      <alignment horizontal="right"/>
      <protection hidden="1"/>
    </xf>
    <xf numFmtId="1" fontId="2" fillId="0" borderId="0" xfId="0" applyNumberFormat="1" applyFont="1" applyFill="1" applyBorder="1" applyAlignment="1" applyProtection="1">
      <alignment horizontal="right"/>
      <protection hidden="1"/>
    </xf>
    <xf numFmtId="0" fontId="0" fillId="0" borderId="0" xfId="0" applyFill="1" applyAlignment="1" applyProtection="1">
      <alignment horizontal="right"/>
      <protection hidden="1"/>
    </xf>
    <xf numFmtId="0" fontId="0" fillId="16" borderId="0" xfId="0" applyFill="1" applyBorder="1" applyProtection="1">
      <protection hidden="1"/>
    </xf>
    <xf numFmtId="0" fontId="0" fillId="16" borderId="1" xfId="0" applyFill="1" applyBorder="1" applyProtection="1">
      <protection hidden="1"/>
    </xf>
    <xf numFmtId="0" fontId="0" fillId="0" borderId="1" xfId="0" applyFill="1" applyBorder="1" applyAlignment="1" applyProtection="1">
      <alignment horizontal="right"/>
      <protection hidden="1"/>
    </xf>
    <xf numFmtId="0" fontId="76" fillId="0" borderId="0" xfId="0" applyFont="1" applyBorder="1" applyProtection="1">
      <protection hidden="1"/>
    </xf>
    <xf numFmtId="0" fontId="76" fillId="9" borderId="0" xfId="0" applyFont="1" applyFill="1" applyBorder="1" applyProtection="1">
      <protection hidden="1"/>
    </xf>
    <xf numFmtId="164" fontId="2" fillId="0" borderId="3" xfId="1" applyNumberFormat="1" applyFont="1" applyFill="1" applyBorder="1" applyAlignment="1" applyProtection="1">
      <alignment horizontal="right"/>
      <protection hidden="1"/>
    </xf>
    <xf numFmtId="164" fontId="2" fillId="0" borderId="0" xfId="1" applyNumberFormat="1" applyFont="1" applyFill="1" applyBorder="1" applyAlignment="1" applyProtection="1">
      <alignment horizontal="right"/>
      <protection hidden="1"/>
    </xf>
    <xf numFmtId="0" fontId="0" fillId="16" borderId="3" xfId="0" applyFill="1" applyBorder="1" applyProtection="1">
      <protection hidden="1"/>
    </xf>
    <xf numFmtId="1" fontId="2" fillId="0" borderId="0" xfId="0" applyNumberFormat="1" applyFont="1" applyFill="1" applyAlignment="1" applyProtection="1">
      <alignment horizontal="left"/>
      <protection hidden="1"/>
    </xf>
    <xf numFmtId="1" fontId="2" fillId="0" borderId="0" xfId="0" applyNumberFormat="1" applyFont="1" applyFill="1" applyBorder="1" applyAlignment="1" applyProtection="1">
      <alignment horizontal="left"/>
      <protection hidden="1"/>
    </xf>
    <xf numFmtId="1" fontId="2" fillId="0" borderId="1" xfId="0" applyNumberFormat="1" applyFont="1" applyFill="1" applyBorder="1" applyAlignment="1" applyProtection="1">
      <alignment horizontal="left"/>
      <protection hidden="1"/>
    </xf>
    <xf numFmtId="0" fontId="2" fillId="0" borderId="3" xfId="0" applyFont="1" applyFill="1" applyBorder="1" applyAlignment="1" applyProtection="1">
      <alignment horizontal="center"/>
      <protection hidden="1"/>
    </xf>
    <xf numFmtId="0" fontId="2" fillId="0" borderId="0" xfId="0" applyFont="1" applyFill="1" applyAlignment="1" applyProtection="1">
      <alignment horizontal="right"/>
      <protection hidden="1"/>
    </xf>
    <xf numFmtId="2" fontId="0" fillId="0" borderId="0" xfId="0" applyNumberFormat="1" applyFill="1" applyProtection="1">
      <protection hidden="1"/>
    </xf>
    <xf numFmtId="2" fontId="0" fillId="0" borderId="1" xfId="0" applyNumberFormat="1" applyFill="1" applyBorder="1" applyProtection="1">
      <protection hidden="1"/>
    </xf>
    <xf numFmtId="0" fontId="76" fillId="0" borderId="1" xfId="0" applyFont="1" applyBorder="1" applyProtection="1">
      <protection hidden="1"/>
    </xf>
    <xf numFmtId="2" fontId="0" fillId="0" borderId="0" xfId="0" applyNumberFormat="1" applyFill="1" applyBorder="1" applyProtection="1">
      <protection hidden="1"/>
    </xf>
    <xf numFmtId="0" fontId="2" fillId="20" borderId="0" xfId="0" applyFont="1" applyFill="1" applyBorder="1" applyProtection="1">
      <protection hidden="1"/>
    </xf>
    <xf numFmtId="2" fontId="0" fillId="20" borderId="0" xfId="0" applyNumberFormat="1" applyFill="1" applyBorder="1" applyProtection="1">
      <protection hidden="1"/>
    </xf>
    <xf numFmtId="0" fontId="71" fillId="0" borderId="3" xfId="0" applyFont="1" applyFill="1" applyBorder="1" applyProtection="1">
      <protection hidden="1"/>
    </xf>
    <xf numFmtId="164" fontId="2" fillId="0" borderId="3" xfId="1" applyNumberFormat="1" applyFont="1" applyFill="1" applyBorder="1" applyAlignment="1" applyProtection="1">
      <alignment horizontal="left"/>
      <protection hidden="1"/>
    </xf>
    <xf numFmtId="164" fontId="2" fillId="0" borderId="0" xfId="1" applyNumberFormat="1" applyFont="1" applyFill="1" applyBorder="1" applyProtection="1">
      <protection hidden="1"/>
    </xf>
    <xf numFmtId="0" fontId="76" fillId="0" borderId="0" xfId="0" applyFont="1" applyFill="1" applyBorder="1" applyAlignment="1" applyProtection="1">
      <alignment horizontal="right"/>
      <protection hidden="1"/>
    </xf>
    <xf numFmtId="164" fontId="2" fillId="0" borderId="1" xfId="1" applyNumberFormat="1" applyFont="1" applyFill="1" applyBorder="1" applyProtection="1">
      <protection hidden="1"/>
    </xf>
    <xf numFmtId="0" fontId="33" fillId="0" borderId="0" xfId="0" applyFont="1" applyFill="1" applyBorder="1" applyProtection="1">
      <protection hidden="1"/>
    </xf>
    <xf numFmtId="0" fontId="81" fillId="0" borderId="0" xfId="0" applyFont="1" applyFill="1" applyBorder="1" applyProtection="1">
      <protection hidden="1"/>
    </xf>
    <xf numFmtId="0" fontId="33" fillId="16" borderId="0" xfId="0" applyFont="1" applyFill="1" applyBorder="1" applyProtection="1">
      <protection hidden="1"/>
    </xf>
    <xf numFmtId="0" fontId="37" fillId="20" borderId="0" xfId="0" applyFont="1" applyFill="1" applyBorder="1" applyProtection="1">
      <protection hidden="1"/>
    </xf>
    <xf numFmtId="0" fontId="82" fillId="20" borderId="0" xfId="0" applyFont="1" applyFill="1" applyBorder="1" applyProtection="1">
      <protection hidden="1"/>
    </xf>
    <xf numFmtId="0" fontId="33" fillId="20" borderId="0" xfId="0" applyFont="1" applyFill="1" applyBorder="1" applyProtection="1">
      <protection hidden="1"/>
    </xf>
    <xf numFmtId="164" fontId="2" fillId="0" borderId="2" xfId="1" applyNumberFormat="1" applyFont="1" applyFill="1" applyBorder="1" applyAlignment="1" applyProtection="1">
      <alignment horizontal="right"/>
      <protection hidden="1"/>
    </xf>
    <xf numFmtId="0" fontId="76" fillId="0" borderId="2" xfId="0" applyFont="1" applyBorder="1" applyProtection="1">
      <protection hidden="1"/>
    </xf>
    <xf numFmtId="164" fontId="2" fillId="0" borderId="1" xfId="1" applyNumberFormat="1" applyFont="1" applyFill="1" applyBorder="1" applyAlignment="1" applyProtection="1">
      <alignment horizontal="right"/>
      <protection hidden="1"/>
    </xf>
    <xf numFmtId="2" fontId="0" fillId="0" borderId="0" xfId="0" applyNumberFormat="1" applyFont="1" applyFill="1" applyBorder="1" applyAlignment="1" applyProtection="1">
      <alignment horizontal="right"/>
      <protection hidden="1"/>
    </xf>
    <xf numFmtId="2" fontId="1" fillId="0" borderId="0" xfId="1" applyNumberFormat="1" applyFont="1" applyFill="1" applyBorder="1" applyAlignment="1" applyProtection="1">
      <alignment horizontal="right"/>
      <protection hidden="1"/>
    </xf>
    <xf numFmtId="2" fontId="0" fillId="0" borderId="0" xfId="0" applyNumberFormat="1" applyFill="1" applyAlignment="1" applyProtection="1">
      <alignment horizontal="right"/>
      <protection hidden="1"/>
    </xf>
    <xf numFmtId="2" fontId="0" fillId="0" borderId="0" xfId="0" applyNumberFormat="1" applyProtection="1">
      <protection hidden="1"/>
    </xf>
    <xf numFmtId="165" fontId="0" fillId="0" borderId="0" xfId="0" applyNumberFormat="1" applyFont="1" applyProtection="1">
      <protection hidden="1"/>
    </xf>
    <xf numFmtId="170" fontId="0" fillId="20" borderId="0" xfId="0" applyNumberFormat="1" applyFill="1" applyProtection="1">
      <protection hidden="1"/>
    </xf>
    <xf numFmtId="0" fontId="2" fillId="0" borderId="3" xfId="0" applyFont="1" applyBorder="1" applyAlignment="1" applyProtection="1">
      <alignment horizontal="right"/>
      <protection hidden="1"/>
    </xf>
    <xf numFmtId="165" fontId="0" fillId="0" borderId="0" xfId="0" applyNumberFormat="1" applyProtection="1">
      <protection hidden="1"/>
    </xf>
    <xf numFmtId="164" fontId="2" fillId="0" borderId="1" xfId="1" applyNumberFormat="1" applyFont="1" applyBorder="1" applyProtection="1">
      <protection hidden="1"/>
    </xf>
    <xf numFmtId="0" fontId="2" fillId="0" borderId="3" xfId="0" applyFont="1" applyBorder="1" applyProtection="1">
      <protection hidden="1"/>
    </xf>
    <xf numFmtId="164" fontId="2" fillId="0" borderId="3" xfId="0" applyNumberFormat="1" applyFont="1" applyBorder="1" applyProtection="1">
      <protection hidden="1"/>
    </xf>
    <xf numFmtId="0" fontId="3" fillId="0" borderId="0" xfId="0" applyFont="1" applyProtection="1">
      <protection hidden="1"/>
    </xf>
    <xf numFmtId="0" fontId="2" fillId="0" borderId="0" xfId="0" applyFont="1" applyBorder="1" applyAlignment="1" applyProtection="1">
      <alignment horizontal="right"/>
      <protection hidden="1"/>
    </xf>
    <xf numFmtId="165" fontId="0" fillId="0" borderId="0" xfId="0" applyNumberFormat="1" applyBorder="1" applyProtection="1">
      <protection hidden="1"/>
    </xf>
    <xf numFmtId="2" fontId="0" fillId="0" borderId="1" xfId="0" applyNumberFormat="1" applyBorder="1" applyProtection="1">
      <protection hidden="1"/>
    </xf>
    <xf numFmtId="164" fontId="2" fillId="0" borderId="0" xfId="1" applyNumberFormat="1" applyFont="1" applyBorder="1" applyProtection="1">
      <protection hidden="1"/>
    </xf>
    <xf numFmtId="2" fontId="0" fillId="0" borderId="0" xfId="0" applyNumberFormat="1" applyBorder="1" applyProtection="1">
      <protection hidden="1"/>
    </xf>
    <xf numFmtId="2" fontId="0" fillId="0" borderId="3" xfId="0" applyNumberFormat="1" applyBorder="1" applyProtection="1">
      <protection hidden="1"/>
    </xf>
    <xf numFmtId="0" fontId="0" fillId="2" borderId="0" xfId="0" applyFill="1" applyProtection="1">
      <protection locked="0"/>
    </xf>
    <xf numFmtId="0" fontId="0" fillId="0" borderId="0" xfId="0" applyFill="1" applyBorder="1" applyAlignment="1" applyProtection="1">
      <alignment horizontal="left"/>
      <protection hidden="1"/>
    </xf>
    <xf numFmtId="0" fontId="30" fillId="0" borderId="0" xfId="0" applyFont="1" applyFill="1" applyProtection="1">
      <protection hidden="1"/>
    </xf>
    <xf numFmtId="164" fontId="0" fillId="2" borderId="1" xfId="1" applyNumberFormat="1" applyFont="1" applyFill="1" applyBorder="1" applyProtection="1">
      <protection locked="0"/>
    </xf>
    <xf numFmtId="164" fontId="2" fillId="2" borderId="1" xfId="1" applyNumberFormat="1" applyFont="1" applyFill="1" applyBorder="1" applyAlignment="1" applyProtection="1">
      <alignment vertical="top"/>
      <protection locked="0"/>
    </xf>
    <xf numFmtId="0" fontId="76" fillId="2" borderId="0" xfId="0" applyFont="1" applyFill="1" applyProtection="1">
      <protection locked="0"/>
    </xf>
    <xf numFmtId="0" fontId="0" fillId="2" borderId="1" xfId="0" applyFill="1" applyBorder="1" applyProtection="1">
      <protection locked="0"/>
    </xf>
    <xf numFmtId="166" fontId="0" fillId="2" borderId="0" xfId="0" applyNumberFormat="1" applyFill="1" applyBorder="1" applyAlignment="1" applyProtection="1">
      <alignment horizontal="right"/>
      <protection locked="0"/>
    </xf>
    <xf numFmtId="166" fontId="0" fillId="2" borderId="1" xfId="0" applyNumberFormat="1" applyFill="1" applyBorder="1" applyAlignment="1" applyProtection="1">
      <alignment horizontal="right"/>
      <protection locked="0"/>
    </xf>
    <xf numFmtId="9" fontId="0" fillId="2" borderId="0" xfId="2" applyFont="1" applyFill="1" applyBorder="1" applyProtection="1">
      <protection locked="0"/>
    </xf>
    <xf numFmtId="9" fontId="0" fillId="2" borderId="1" xfId="2" applyFont="1" applyFill="1" applyBorder="1" applyProtection="1">
      <protection locked="0"/>
    </xf>
    <xf numFmtId="1" fontId="0" fillId="2" borderId="0" xfId="0" applyNumberFormat="1" applyFill="1" applyAlignment="1" applyProtection="1">
      <alignment horizontal="right"/>
      <protection locked="0"/>
    </xf>
    <xf numFmtId="0" fontId="0" fillId="2" borderId="0" xfId="0" applyFill="1" applyBorder="1" applyAlignment="1" applyProtection="1">
      <alignment horizontal="right"/>
      <protection locked="0"/>
    </xf>
    <xf numFmtId="0" fontId="0" fillId="2" borderId="1" xfId="0" applyFill="1" applyBorder="1" applyAlignment="1" applyProtection="1">
      <alignment horizontal="right"/>
      <protection locked="0"/>
    </xf>
    <xf numFmtId="0" fontId="76" fillId="2" borderId="0" xfId="0" applyFont="1" applyFill="1" applyBorder="1" applyProtection="1">
      <protection locked="0"/>
    </xf>
    <xf numFmtId="0" fontId="0" fillId="2" borderId="2" xfId="0" applyFill="1" applyBorder="1" applyAlignment="1" applyProtection="1">
      <alignment horizontal="right"/>
      <protection locked="0"/>
    </xf>
    <xf numFmtId="2" fontId="0" fillId="2" borderId="0" xfId="0" applyNumberFormat="1" applyFill="1" applyProtection="1">
      <protection locked="0"/>
    </xf>
    <xf numFmtId="2" fontId="0" fillId="2" borderId="1" xfId="0" applyNumberFormat="1" applyFill="1" applyBorder="1" applyProtection="1">
      <protection locked="0"/>
    </xf>
    <xf numFmtId="0" fontId="76" fillId="2" borderId="0" xfId="0" applyFont="1" applyFill="1" applyBorder="1" applyAlignment="1" applyProtection="1">
      <alignment horizontal="right"/>
      <protection locked="0"/>
    </xf>
    <xf numFmtId="2" fontId="0" fillId="2" borderId="0" xfId="0" applyNumberFormat="1" applyFont="1" applyFill="1" applyBorder="1" applyAlignment="1" applyProtection="1">
      <alignment horizontal="right"/>
      <protection locked="0"/>
    </xf>
    <xf numFmtId="2" fontId="1" fillId="2" borderId="0" xfId="1" applyNumberFormat="1" applyFont="1" applyFill="1" applyBorder="1" applyAlignment="1" applyProtection="1">
      <alignment horizontal="right"/>
      <protection locked="0"/>
    </xf>
    <xf numFmtId="2" fontId="0" fillId="2" borderId="0" xfId="0" applyNumberFormat="1" applyFill="1" applyAlignment="1" applyProtection="1">
      <alignment horizontal="right"/>
      <protection locked="0"/>
    </xf>
    <xf numFmtId="165" fontId="0" fillId="2" borderId="0" xfId="0" applyNumberFormat="1" applyFill="1" applyProtection="1">
      <protection locked="0"/>
    </xf>
    <xf numFmtId="2" fontId="0" fillId="2" borderId="0" xfId="0" applyNumberFormat="1" applyFill="1" applyBorder="1" applyProtection="1">
      <protection locked="0"/>
    </xf>
    <xf numFmtId="2" fontId="0" fillId="2" borderId="3" xfId="0" applyNumberFormat="1" applyFill="1" applyBorder="1" applyProtection="1">
      <protection locked="0"/>
    </xf>
    <xf numFmtId="0" fontId="0" fillId="4" borderId="0" xfId="0" applyFill="1" applyAlignment="1" applyProtection="1">
      <alignment vertical="top"/>
      <protection locked="0"/>
    </xf>
    <xf numFmtId="0" fontId="18" fillId="0" borderId="0" xfId="0" applyFont="1" applyFill="1" applyAlignment="1" applyProtection="1">
      <alignment vertical="top"/>
      <protection hidden="1"/>
    </xf>
    <xf numFmtId="2" fontId="10" fillId="10" borderId="0" xfId="0" applyNumberFormat="1" applyFont="1" applyFill="1" applyAlignment="1" applyProtection="1">
      <alignment vertical="top"/>
      <protection hidden="1"/>
    </xf>
    <xf numFmtId="0" fontId="19" fillId="0" borderId="0" xfId="0" applyFont="1" applyFill="1" applyAlignment="1" applyProtection="1">
      <alignment vertical="top"/>
      <protection hidden="1"/>
    </xf>
    <xf numFmtId="0" fontId="20" fillId="0" borderId="0" xfId="0" applyFont="1" applyFill="1" applyAlignment="1" applyProtection="1">
      <alignment vertical="top"/>
      <protection hidden="1"/>
    </xf>
    <xf numFmtId="49" fontId="28" fillId="0" borderId="0" xfId="0" applyNumberFormat="1" applyFont="1" applyFill="1" applyAlignment="1" applyProtection="1">
      <alignment horizontal="right" vertical="top"/>
      <protection hidden="1"/>
    </xf>
    <xf numFmtId="0" fontId="5" fillId="0" borderId="0" xfId="0" applyFont="1" applyFill="1" applyAlignment="1" applyProtection="1">
      <alignment vertical="top"/>
      <protection hidden="1"/>
    </xf>
    <xf numFmtId="0" fontId="2" fillId="0" borderId="0" xfId="0" applyFont="1" applyFill="1" applyAlignment="1" applyProtection="1">
      <alignment vertical="top"/>
      <protection hidden="1"/>
    </xf>
    <xf numFmtId="2" fontId="0" fillId="10" borderId="0" xfId="0" applyNumberFormat="1" applyFill="1" applyAlignment="1" applyProtection="1">
      <alignment vertical="top"/>
      <protection hidden="1"/>
    </xf>
    <xf numFmtId="0" fontId="0" fillId="0" borderId="0" xfId="0" applyFill="1" applyAlignment="1" applyProtection="1">
      <alignment vertical="top" wrapText="1"/>
      <protection hidden="1"/>
    </xf>
    <xf numFmtId="0" fontId="23" fillId="0" borderId="0" xfId="0" applyFont="1" applyFill="1" applyAlignment="1" applyProtection="1">
      <alignment vertical="top" wrapText="1"/>
      <protection hidden="1"/>
    </xf>
    <xf numFmtId="2" fontId="10" fillId="0" borderId="0" xfId="0" applyNumberFormat="1" applyFont="1" applyFill="1" applyAlignment="1" applyProtection="1">
      <alignment vertical="top"/>
      <protection hidden="1"/>
    </xf>
    <xf numFmtId="2" fontId="8" fillId="0" borderId="0" xfId="0" applyNumberFormat="1" applyFont="1" applyFill="1" applyAlignment="1" applyProtection="1">
      <alignment vertical="top"/>
      <protection hidden="1"/>
    </xf>
    <xf numFmtId="0" fontId="19" fillId="0" borderId="0" xfId="0" applyFont="1" applyFill="1" applyAlignment="1" applyProtection="1">
      <protection hidden="1"/>
    </xf>
    <xf numFmtId="0" fontId="15" fillId="0" borderId="0" xfId="0" applyFont="1" applyFill="1" applyAlignment="1" applyProtection="1">
      <alignment vertical="top"/>
      <protection hidden="1"/>
    </xf>
    <xf numFmtId="168" fontId="0" fillId="0" borderId="0" xfId="0" applyNumberFormat="1" applyFill="1" applyAlignment="1" applyProtection="1">
      <alignment vertical="top"/>
      <protection hidden="1"/>
    </xf>
    <xf numFmtId="0" fontId="24" fillId="0" borderId="0" xfId="0" applyFont="1" applyFill="1" applyAlignment="1" applyProtection="1">
      <alignment vertical="top"/>
      <protection hidden="1"/>
    </xf>
    <xf numFmtId="0" fontId="20" fillId="0" borderId="0" xfId="0" applyFont="1" applyFill="1" applyAlignment="1" applyProtection="1">
      <protection hidden="1"/>
    </xf>
    <xf numFmtId="1" fontId="16" fillId="0" borderId="0" xfId="0" applyNumberFormat="1" applyFont="1" applyFill="1" applyAlignment="1" applyProtection="1">
      <alignment horizontal="right" vertical="center"/>
      <protection hidden="1"/>
    </xf>
    <xf numFmtId="43" fontId="0" fillId="0" borderId="0" xfId="0" applyNumberFormat="1" applyFont="1" applyFill="1" applyAlignment="1" applyProtection="1">
      <alignment vertical="top"/>
      <protection hidden="1"/>
    </xf>
    <xf numFmtId="43" fontId="7" fillId="0" borderId="0" xfId="0" applyNumberFormat="1" applyFont="1" applyFill="1" applyAlignment="1" applyProtection="1">
      <alignment vertical="top"/>
      <protection hidden="1"/>
    </xf>
    <xf numFmtId="49" fontId="28" fillId="0" borderId="0" xfId="0" applyNumberFormat="1" applyFont="1" applyAlignment="1" applyProtection="1">
      <alignment horizontal="right" vertical="top"/>
      <protection hidden="1"/>
    </xf>
    <xf numFmtId="0" fontId="26" fillId="0" borderId="0" xfId="0" applyFont="1" applyFill="1" applyAlignment="1" applyProtection="1">
      <alignment vertical="top"/>
      <protection hidden="1"/>
    </xf>
    <xf numFmtId="1" fontId="8" fillId="10" borderId="0" xfId="0" applyNumberFormat="1" applyFont="1" applyFill="1" applyAlignment="1" applyProtection="1">
      <alignment vertical="top"/>
      <protection hidden="1"/>
    </xf>
    <xf numFmtId="49" fontId="28" fillId="0" borderId="0" xfId="0" applyNumberFormat="1" applyFont="1" applyFill="1" applyAlignment="1" applyProtection="1">
      <alignment horizontal="right" vertical="center"/>
      <protection hidden="1"/>
    </xf>
    <xf numFmtId="0" fontId="27" fillId="0" borderId="0" xfId="0" applyFont="1" applyFill="1" applyAlignment="1" applyProtection="1">
      <alignment vertical="top"/>
      <protection hidden="1"/>
    </xf>
    <xf numFmtId="164" fontId="16" fillId="0" borderId="0" xfId="1" applyNumberFormat="1" applyFont="1" applyFill="1" applyAlignment="1" applyProtection="1">
      <alignment vertical="top" wrapText="1"/>
      <protection hidden="1"/>
    </xf>
    <xf numFmtId="0" fontId="16" fillId="0" borderId="0" xfId="0" applyFont="1" applyFill="1" applyAlignment="1" applyProtection="1">
      <alignment vertical="top" wrapText="1"/>
      <protection hidden="1"/>
    </xf>
    <xf numFmtId="0" fontId="0" fillId="0" borderId="0" xfId="0" applyAlignment="1" applyProtection="1">
      <alignment vertical="top" wrapText="1"/>
      <protection hidden="1"/>
    </xf>
    <xf numFmtId="0" fontId="26" fillId="10" borderId="0" xfId="0" applyFont="1" applyFill="1" applyAlignment="1" applyProtection="1">
      <alignment vertical="top"/>
      <protection hidden="1"/>
    </xf>
    <xf numFmtId="0" fontId="20" fillId="10" borderId="0" xfId="0" applyFont="1" applyFill="1" applyAlignment="1" applyProtection="1">
      <alignment vertical="top"/>
      <protection hidden="1"/>
    </xf>
    <xf numFmtId="0" fontId="10" fillId="10" borderId="0" xfId="0" applyFont="1" applyFill="1" applyAlignment="1" applyProtection="1">
      <alignment vertical="top"/>
      <protection hidden="1"/>
    </xf>
    <xf numFmtId="49" fontId="28" fillId="10" borderId="0" xfId="0" applyNumberFormat="1" applyFont="1" applyFill="1" applyAlignment="1" applyProtection="1">
      <alignment horizontal="right" vertical="top"/>
      <protection hidden="1"/>
    </xf>
    <xf numFmtId="0" fontId="0" fillId="10" borderId="0" xfId="0" applyFill="1" applyAlignment="1" applyProtection="1">
      <alignment vertical="top" wrapText="1"/>
      <protection hidden="1"/>
    </xf>
    <xf numFmtId="0" fontId="3" fillId="0" borderId="0" xfId="0" applyFont="1" applyFill="1" applyAlignment="1" applyProtection="1">
      <alignment vertical="top"/>
      <protection hidden="1"/>
    </xf>
    <xf numFmtId="0" fontId="28" fillId="0" borderId="0" xfId="0" applyFont="1" applyFill="1" applyAlignment="1" applyProtection="1">
      <alignment vertical="center"/>
      <protection hidden="1"/>
    </xf>
    <xf numFmtId="0" fontId="20" fillId="0" borderId="0" xfId="0" applyFont="1" applyFill="1" applyAlignment="1" applyProtection="1">
      <alignment vertical="center"/>
      <protection hidden="1"/>
    </xf>
    <xf numFmtId="0" fontId="43" fillId="0" borderId="0" xfId="0" applyFont="1" applyFill="1" applyAlignment="1" applyProtection="1">
      <alignment vertical="center" wrapText="1"/>
      <protection hidden="1"/>
    </xf>
    <xf numFmtId="0" fontId="41" fillId="0" borderId="0" xfId="0" applyFont="1" applyFill="1" applyAlignment="1" applyProtection="1">
      <alignment horizontal="left" vertical="center"/>
      <protection hidden="1"/>
    </xf>
    <xf numFmtId="0" fontId="0" fillId="0" borderId="0" xfId="0" applyFill="1" applyAlignment="1" applyProtection="1">
      <alignment horizontal="center" vertical="center"/>
      <protection hidden="1"/>
    </xf>
    <xf numFmtId="0" fontId="0" fillId="0" borderId="0" xfId="0" applyFill="1" applyAlignment="1" applyProtection="1">
      <alignment vertical="center"/>
      <protection hidden="1"/>
    </xf>
    <xf numFmtId="0" fontId="0" fillId="0" borderId="0" xfId="0" applyFill="1" applyAlignment="1" applyProtection="1">
      <alignment vertical="center" wrapText="1"/>
      <protection hidden="1"/>
    </xf>
    <xf numFmtId="0" fontId="0" fillId="0" borderId="0" xfId="0" applyAlignment="1" applyProtection="1">
      <alignment vertical="center"/>
      <protection hidden="1"/>
    </xf>
    <xf numFmtId="2" fontId="8" fillId="10" borderId="0" xfId="0" applyNumberFormat="1" applyFont="1" applyFill="1" applyAlignment="1" applyProtection="1">
      <alignment vertical="center"/>
      <protection hidden="1"/>
    </xf>
    <xf numFmtId="0" fontId="28" fillId="0" borderId="0" xfId="0" applyFont="1" applyFill="1" applyAlignment="1" applyProtection="1">
      <alignment vertical="top"/>
      <protection hidden="1"/>
    </xf>
    <xf numFmtId="2" fontId="0" fillId="0" borderId="0" xfId="0" applyNumberFormat="1" applyFill="1" applyAlignment="1" applyProtection="1">
      <alignment vertical="top"/>
      <protection hidden="1"/>
    </xf>
    <xf numFmtId="1" fontId="16" fillId="0" borderId="0" xfId="0" applyNumberFormat="1" applyFont="1" applyFill="1" applyAlignment="1" applyProtection="1">
      <alignment horizontal="center" vertical="center"/>
      <protection hidden="1"/>
    </xf>
    <xf numFmtId="1" fontId="16" fillId="0" borderId="0" xfId="0" applyNumberFormat="1" applyFont="1" applyFill="1" applyAlignment="1" applyProtection="1">
      <alignment horizontal="left"/>
      <protection hidden="1"/>
    </xf>
    <xf numFmtId="1" fontId="16" fillId="0" borderId="0" xfId="0" applyNumberFormat="1" applyFont="1" applyFill="1" applyAlignment="1" applyProtection="1">
      <alignment horizontal="center" wrapText="1"/>
      <protection hidden="1"/>
    </xf>
    <xf numFmtId="49" fontId="28" fillId="0" borderId="0" xfId="0" applyNumberFormat="1" applyFont="1" applyFill="1" applyAlignment="1" applyProtection="1">
      <alignment horizontal="right"/>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horizontal="left" vertical="center" wrapText="1"/>
      <protection hidden="1"/>
    </xf>
    <xf numFmtId="0" fontId="44" fillId="0" borderId="0" xfId="0" applyFont="1" applyFill="1" applyAlignment="1" applyProtection="1">
      <alignment vertical="top"/>
      <protection hidden="1"/>
    </xf>
    <xf numFmtId="0" fontId="45" fillId="0" borderId="0" xfId="0" applyFont="1" applyFill="1" applyAlignment="1" applyProtection="1">
      <alignment vertical="top"/>
      <protection hidden="1"/>
    </xf>
    <xf numFmtId="164" fontId="45" fillId="0" borderId="0" xfId="0" applyNumberFormat="1" applyFont="1" applyFill="1" applyAlignment="1" applyProtection="1">
      <alignment vertical="top"/>
      <protection hidden="1"/>
    </xf>
    <xf numFmtId="164" fontId="46" fillId="0" borderId="0" xfId="0" applyNumberFormat="1" applyFont="1" applyFill="1" applyAlignment="1" applyProtection="1">
      <alignment vertical="top"/>
      <protection hidden="1"/>
    </xf>
    <xf numFmtId="49" fontId="45" fillId="0" borderId="0" xfId="0" applyNumberFormat="1" applyFont="1" applyFill="1" applyAlignment="1" applyProtection="1">
      <alignment horizontal="right" vertical="top"/>
      <protection hidden="1"/>
    </xf>
    <xf numFmtId="0" fontId="47" fillId="0" borderId="0" xfId="0" applyFont="1" applyFill="1" applyAlignment="1" applyProtection="1">
      <alignment vertical="top"/>
      <protection hidden="1"/>
    </xf>
    <xf numFmtId="0" fontId="48" fillId="0" borderId="0" xfId="0" applyFont="1" applyFill="1" applyAlignment="1" applyProtection="1">
      <alignment vertical="top"/>
      <protection hidden="1"/>
    </xf>
    <xf numFmtId="2" fontId="49" fillId="0" borderId="0" xfId="0" applyNumberFormat="1" applyFont="1" applyFill="1" applyAlignment="1" applyProtection="1">
      <alignment vertical="top"/>
      <protection hidden="1"/>
    </xf>
    <xf numFmtId="0" fontId="15" fillId="0" borderId="0" xfId="0" applyFont="1" applyFill="1" applyAlignment="1" applyProtection="1">
      <alignment vertical="center"/>
      <protection hidden="1"/>
    </xf>
    <xf numFmtId="164" fontId="0" fillId="0" borderId="0" xfId="0" applyNumberFormat="1" applyFill="1" applyAlignment="1" applyProtection="1">
      <alignment vertical="top"/>
      <protection hidden="1"/>
    </xf>
    <xf numFmtId="0" fontId="25" fillId="0" borderId="0" xfId="0" applyFont="1" applyFill="1" applyAlignment="1" applyProtection="1">
      <alignment vertical="top"/>
      <protection hidden="1"/>
    </xf>
    <xf numFmtId="0" fontId="5" fillId="10" borderId="0" xfId="0" applyFont="1" applyFill="1" applyAlignment="1" applyProtection="1">
      <alignment vertical="top"/>
      <protection hidden="1"/>
    </xf>
    <xf numFmtId="0" fontId="23" fillId="10" borderId="0" xfId="0" applyFont="1" applyFill="1" applyAlignment="1" applyProtection="1">
      <alignment vertical="top"/>
      <protection hidden="1"/>
    </xf>
    <xf numFmtId="2" fontId="11" fillId="10" borderId="0" xfId="0" applyNumberFormat="1" applyFont="1" applyFill="1" applyAlignment="1" applyProtection="1">
      <alignment vertical="top"/>
      <protection hidden="1"/>
    </xf>
    <xf numFmtId="0" fontId="11" fillId="10" borderId="0" xfId="0" applyFont="1" applyFill="1" applyAlignment="1" applyProtection="1">
      <alignment vertical="top"/>
      <protection hidden="1"/>
    </xf>
    <xf numFmtId="43" fontId="8" fillId="10" borderId="0" xfId="0" applyNumberFormat="1" applyFont="1" applyFill="1" applyAlignment="1" applyProtection="1">
      <alignment vertical="top"/>
      <protection hidden="1"/>
    </xf>
    <xf numFmtId="43" fontId="64" fillId="10" borderId="0" xfId="0" applyNumberFormat="1" applyFont="1" applyFill="1" applyAlignment="1" applyProtection="1">
      <alignment vertical="top"/>
      <protection hidden="1"/>
    </xf>
    <xf numFmtId="1" fontId="0" fillId="4" borderId="0" xfId="0" applyNumberFormat="1" applyFill="1" applyAlignment="1" applyProtection="1">
      <alignment vertical="top"/>
      <protection locked="0"/>
    </xf>
    <xf numFmtId="167" fontId="0" fillId="4" borderId="0" xfId="1" applyNumberFormat="1" applyFont="1" applyFill="1" applyAlignment="1" applyProtection="1">
      <alignment vertical="top"/>
      <protection locked="0"/>
    </xf>
    <xf numFmtId="0" fontId="0" fillId="0" borderId="0" xfId="0" applyAlignment="1">
      <alignment vertical="top" wrapText="1"/>
    </xf>
    <xf numFmtId="0" fontId="0" fillId="0" borderId="0" xfId="0" applyFill="1" applyAlignment="1">
      <alignment vertical="top" wrapText="1"/>
    </xf>
    <xf numFmtId="0" fontId="0" fillId="2" borderId="0" xfId="0" applyFill="1" applyAlignment="1" applyProtection="1">
      <alignment vertical="top"/>
      <protection locked="0"/>
    </xf>
    <xf numFmtId="0" fontId="0" fillId="2" borderId="0" xfId="0" applyFill="1" applyAlignment="1" applyProtection="1">
      <alignment vertical="top" wrapText="1"/>
      <protection locked="0"/>
    </xf>
    <xf numFmtId="0" fontId="23" fillId="2" borderId="0" xfId="0" applyFont="1" applyFill="1" applyAlignment="1" applyProtection="1">
      <alignment vertical="top" wrapText="1"/>
      <protection locked="0"/>
    </xf>
    <xf numFmtId="0" fontId="23" fillId="0" borderId="0" xfId="0" applyFont="1" applyAlignment="1">
      <alignment vertical="top" wrapText="1"/>
    </xf>
    <xf numFmtId="168" fontId="0" fillId="2" borderId="0" xfId="0" applyNumberFormat="1" applyFill="1" applyAlignment="1" applyProtection="1">
      <alignment vertical="top"/>
      <protection locked="0"/>
    </xf>
    <xf numFmtId="0" fontId="0" fillId="0" borderId="0" xfId="0" applyAlignment="1" applyProtection="1">
      <alignment vertical="top"/>
      <protection locked="0"/>
    </xf>
    <xf numFmtId="0" fontId="0" fillId="10" borderId="0" xfId="0" applyFill="1" applyAlignment="1">
      <alignment vertical="top" wrapText="1"/>
    </xf>
    <xf numFmtId="0" fontId="2" fillId="0" borderId="0" xfId="0" applyFont="1" applyFill="1" applyAlignment="1">
      <alignment horizontal="left" vertical="center" wrapText="1"/>
    </xf>
    <xf numFmtId="0" fontId="0" fillId="0" borderId="0" xfId="0" applyFont="1" applyAlignment="1">
      <alignment horizontal="left" vertical="center" wrapText="1"/>
    </xf>
    <xf numFmtId="0" fontId="0" fillId="0" borderId="0" xfId="0" applyAlignment="1">
      <alignment vertical="center" wrapText="1"/>
    </xf>
    <xf numFmtId="0" fontId="0" fillId="0" borderId="0" xfId="0" applyFont="1" applyAlignment="1">
      <alignment vertical="center" wrapText="1"/>
    </xf>
    <xf numFmtId="0" fontId="76" fillId="0" borderId="0" xfId="0" applyFont="1" applyFill="1" applyAlignment="1">
      <alignment vertical="top" wrapText="1"/>
    </xf>
    <xf numFmtId="0" fontId="76" fillId="0" borderId="0" xfId="0" applyFont="1" applyAlignment="1">
      <alignment vertical="top" wrapText="1"/>
    </xf>
    <xf numFmtId="0" fontId="41" fillId="0" borderId="0" xfId="0" applyFont="1" applyFill="1" applyAlignment="1">
      <alignment horizontal="left" vertical="center" wrapText="1"/>
    </xf>
    <xf numFmtId="0" fontId="0" fillId="0" borderId="0" xfId="0" applyFill="1" applyAlignment="1">
      <alignment horizontal="left" vertical="center" wrapText="1"/>
    </xf>
    <xf numFmtId="0" fontId="0" fillId="0" borderId="0" xfId="0" applyFont="1" applyAlignment="1">
      <alignment vertical="top" wrapText="1"/>
    </xf>
    <xf numFmtId="164" fontId="15" fillId="0" borderId="0" xfId="0" applyNumberFormat="1" applyFont="1" applyFill="1" applyBorder="1" applyAlignment="1" applyProtection="1">
      <alignment wrapText="1"/>
      <protection hidden="1"/>
    </xf>
    <xf numFmtId="0" fontId="15" fillId="0" borderId="0" xfId="0" applyFont="1" applyBorder="1" applyAlignment="1" applyProtection="1">
      <protection hidden="1"/>
    </xf>
    <xf numFmtId="164" fontId="7" fillId="0" borderId="0" xfId="0" applyNumberFormat="1" applyFont="1" applyFill="1" applyAlignment="1">
      <alignment vertical="top" wrapText="1"/>
    </xf>
    <xf numFmtId="164" fontId="0" fillId="0" borderId="0" xfId="0" applyNumberFormat="1" applyFill="1" applyAlignment="1">
      <alignment vertical="top" wrapText="1"/>
    </xf>
    <xf numFmtId="0" fontId="0" fillId="0" borderId="0" xfId="0"/>
    <xf numFmtId="0" fontId="0" fillId="0" borderId="0" xfId="0" applyAlignment="1">
      <alignment wrapText="1"/>
    </xf>
    <xf numFmtId="9" fontId="0" fillId="0" borderId="0" xfId="2" applyFont="1" applyFill="1" applyBorder="1" applyAlignment="1">
      <alignment horizontal="left" vertical="top" wrapText="1"/>
    </xf>
    <xf numFmtId="164" fontId="22" fillId="4" borderId="0" xfId="1" applyNumberFormat="1" applyFont="1" applyFill="1" applyAlignment="1" applyProtection="1">
      <alignment horizontal="right" vertical="top"/>
      <protection locked="0"/>
    </xf>
    <xf numFmtId="0" fontId="0" fillId="4" borderId="0" xfId="0" applyFill="1" applyAlignment="1" applyProtection="1">
      <alignment vertical="top"/>
      <protection locked="0"/>
    </xf>
    <xf numFmtId="14" fontId="2" fillId="0" borderId="0" xfId="0" applyNumberFormat="1" applyFont="1" applyFill="1" applyAlignment="1">
      <alignment vertical="top" wrapText="1"/>
    </xf>
    <xf numFmtId="0" fontId="2" fillId="0" borderId="0" xfId="0" applyFont="1" applyFill="1" applyAlignment="1">
      <alignment vertical="top" wrapText="1"/>
    </xf>
    <xf numFmtId="0" fontId="2" fillId="0" borderId="0" xfId="0" applyFont="1" applyAlignment="1">
      <alignment vertical="top" wrapText="1"/>
    </xf>
    <xf numFmtId="0" fontId="0" fillId="0" borderId="6"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wrapText="1"/>
    </xf>
    <xf numFmtId="0" fontId="0" fillId="0" borderId="0" xfId="0" applyBorder="1" applyAlignment="1">
      <alignment vertical="center" wrapText="1"/>
    </xf>
    <xf numFmtId="0" fontId="0" fillId="0" borderId="0" xfId="0" applyFont="1" applyBorder="1" applyAlignment="1">
      <alignment vertical="center" wrapText="1"/>
    </xf>
    <xf numFmtId="11" fontId="0" fillId="0" borderId="5" xfId="0" applyNumberFormat="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4" fillId="0" borderId="0" xfId="0" applyFont="1" applyAlignment="1">
      <alignment vertical="top" wrapText="1"/>
    </xf>
    <xf numFmtId="0" fontId="4" fillId="0" borderId="0" xfId="0" applyFont="1" applyFill="1" applyAlignment="1">
      <alignment vertical="top" wrapText="1"/>
    </xf>
    <xf numFmtId="0" fontId="88" fillId="0" borderId="0" xfId="0" applyFont="1" applyAlignment="1">
      <alignment vertical="top" wrapText="1"/>
    </xf>
    <xf numFmtId="0" fontId="0" fillId="0" borderId="0" xfId="0" applyFill="1" applyAlignment="1">
      <alignment vertical="center" wrapText="1"/>
    </xf>
    <xf numFmtId="164" fontId="22" fillId="2" borderId="0" xfId="1" applyNumberFormat="1" applyFont="1" applyFill="1" applyAlignment="1" applyProtection="1">
      <alignment horizontal="right" vertical="top"/>
      <protection locked="0"/>
    </xf>
    <xf numFmtId="11" fontId="0" fillId="7" borderId="0" xfId="0" applyNumberFormat="1" applyFill="1" applyAlignment="1" applyProtection="1">
      <alignment horizontal="center" vertical="center"/>
      <protection hidden="1"/>
    </xf>
    <xf numFmtId="11" fontId="0" fillId="0" borderId="0" xfId="0" applyNumberFormat="1" applyAlignment="1" applyProtection="1">
      <alignment horizontal="center" vertical="center"/>
      <protection hidden="1"/>
    </xf>
    <xf numFmtId="11" fontId="0" fillId="0" borderId="0" xfId="0" applyNumberFormat="1" applyAlignment="1" applyProtection="1">
      <alignment horizontal="center"/>
      <protection hidden="1"/>
    </xf>
    <xf numFmtId="0" fontId="4" fillId="10" borderId="0" xfId="0" applyFont="1" applyFill="1" applyAlignment="1">
      <alignment vertical="top" wrapText="1"/>
    </xf>
    <xf numFmtId="0" fontId="51" fillId="0" borderId="0" xfId="0" applyFont="1" applyFill="1" applyAlignment="1">
      <alignment vertical="top" wrapText="1"/>
    </xf>
    <xf numFmtId="0" fontId="0" fillId="0" borderId="0" xfId="0" applyAlignment="1" applyProtection="1">
      <alignment vertical="top" wrapText="1"/>
      <protection locked="0"/>
    </xf>
    <xf numFmtId="0" fontId="0" fillId="7" borderId="0" xfId="0" applyFill="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vertical="top"/>
    </xf>
    <xf numFmtId="0" fontId="0" fillId="0" borderId="0" xfId="0" applyFill="1" applyAlignment="1" applyProtection="1">
      <alignment vertical="top" wrapText="1"/>
      <protection hidden="1"/>
    </xf>
    <xf numFmtId="0" fontId="0" fillId="0" borderId="0" xfId="0" applyAlignment="1" applyProtection="1">
      <alignment vertical="top" wrapText="1"/>
      <protection hidden="1"/>
    </xf>
    <xf numFmtId="0" fontId="2" fillId="0" borderId="0" xfId="0" applyFont="1" applyFill="1" applyAlignment="1" applyProtection="1">
      <alignment horizontal="left" vertical="center" wrapText="1"/>
      <protection hidden="1"/>
    </xf>
    <xf numFmtId="0" fontId="0" fillId="0" borderId="0" xfId="0" applyFont="1" applyAlignment="1" applyProtection="1">
      <alignment horizontal="left" vertical="center" wrapText="1"/>
      <protection hidden="1"/>
    </xf>
    <xf numFmtId="11" fontId="2" fillId="0" borderId="3" xfId="1" applyNumberFormat="1" applyFont="1" applyFill="1" applyBorder="1" applyAlignment="1" applyProtection="1">
      <alignment horizontal="center"/>
      <protection hidden="1"/>
    </xf>
    <xf numFmtId="0" fontId="2" fillId="0" borderId="0" xfId="0" applyFont="1" applyBorder="1" applyAlignment="1" applyProtection="1">
      <alignment horizontal="left" vertical="center" wrapText="1"/>
      <protection hidden="1"/>
    </xf>
    <xf numFmtId="0" fontId="0" fillId="0" borderId="0" xfId="0" applyBorder="1" applyAlignment="1" applyProtection="1">
      <alignment vertical="center" wrapText="1"/>
      <protection hidden="1"/>
    </xf>
    <xf numFmtId="0" fontId="0" fillId="0" borderId="0" xfId="0" applyBorder="1" applyAlignment="1" applyProtection="1">
      <alignment horizontal="left" vertical="center" wrapText="1"/>
      <protection hidden="1"/>
    </xf>
    <xf numFmtId="165" fontId="0" fillId="2" borderId="0" xfId="0" applyNumberFormat="1" applyFont="1" applyFill="1" applyBorder="1" applyAlignment="1" applyProtection="1">
      <alignment horizontal="right" vertical="center"/>
      <protection locked="0"/>
    </xf>
    <xf numFmtId="0" fontId="0" fillId="2" borderId="0" xfId="0" applyFont="1" applyFill="1" applyBorder="1" applyAlignment="1" applyProtection="1">
      <alignment horizontal="right" vertical="center"/>
      <protection locked="0"/>
    </xf>
    <xf numFmtId="165" fontId="0" fillId="0" borderId="0" xfId="0" applyNumberFormat="1" applyFont="1" applyFill="1" applyBorder="1" applyAlignment="1" applyProtection="1">
      <alignment horizontal="right" vertical="center"/>
      <protection hidden="1"/>
    </xf>
    <xf numFmtId="0" fontId="0" fillId="0" borderId="0" xfId="0" applyFont="1" applyBorder="1" applyAlignment="1" applyProtection="1">
      <alignment horizontal="right" vertical="center"/>
      <protection hidden="1"/>
    </xf>
    <xf numFmtId="165" fontId="2" fillId="0" borderId="0" xfId="0" applyNumberFormat="1" applyFont="1" applyFill="1" applyBorder="1" applyAlignment="1" applyProtection="1">
      <alignment horizontal="right" vertical="center"/>
      <protection hidden="1"/>
    </xf>
    <xf numFmtId="0" fontId="2" fillId="0" borderId="1" xfId="0" applyFont="1" applyBorder="1" applyAlignment="1" applyProtection="1">
      <alignment horizontal="right" vertical="center"/>
      <protection hidden="1"/>
    </xf>
    <xf numFmtId="0" fontId="0" fillId="0" borderId="1" xfId="0" applyBorder="1" applyAlignment="1" applyProtection="1">
      <alignment horizontal="left" vertical="center" wrapText="1"/>
      <protection hidden="1"/>
    </xf>
    <xf numFmtId="0" fontId="0" fillId="0" borderId="1" xfId="0" applyBorder="1" applyAlignment="1" applyProtection="1">
      <alignment vertical="center" wrapText="1"/>
      <protection hidden="1"/>
    </xf>
  </cellXfs>
  <cellStyles count="5">
    <cellStyle name="Hyperkobling" xfId="4" builtinId="8"/>
    <cellStyle name="Komma" xfId="1" builtinId="3"/>
    <cellStyle name="Normal" xfId="0" builtinId="0"/>
    <cellStyle name="Normal 2" xfId="3"/>
    <cellStyle name="Prosent" xfId="2" builtinId="5"/>
  </cellStyles>
  <dxfs count="8">
    <dxf>
      <fill>
        <patternFill patternType="solid">
          <fgColor rgb="FFD8D8D8"/>
          <bgColor rgb="FF000000"/>
        </patternFill>
      </fill>
    </dxf>
    <dxf>
      <fill>
        <patternFill patternType="solid">
          <fgColor rgb="FFD8D8D8"/>
          <bgColor rgb="FF00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F00FF"/>
      <color rgb="FFFFFF99"/>
      <color rgb="FF00FF00"/>
      <color rgb="FF2FFF8D"/>
      <color rgb="FF00EE6C"/>
      <color rgb="FFFFFF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37</xdr:row>
      <xdr:rowOff>38100</xdr:rowOff>
    </xdr:from>
    <xdr:to>
      <xdr:col>3</xdr:col>
      <xdr:colOff>1457325</xdr:colOff>
      <xdr:row>63</xdr:row>
      <xdr:rowOff>90726</xdr:rowOff>
    </xdr:to>
    <xdr:pic>
      <xdr:nvPicPr>
        <xdr:cNvPr id="4" name="Bild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7181850"/>
          <a:ext cx="7096124" cy="5005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3248026</xdr:colOff>
      <xdr:row>0</xdr:row>
      <xdr:rowOff>10981</xdr:rowOff>
    </xdr:from>
    <xdr:to>
      <xdr:col>7</xdr:col>
      <xdr:colOff>3590926</xdr:colOff>
      <xdr:row>1</xdr:row>
      <xdr:rowOff>12791</xdr:rowOff>
    </xdr:to>
    <xdr:pic>
      <xdr:nvPicPr>
        <xdr:cNvPr id="8" name="Picture 2" descr="Fil:Flag of Norway.svg"/>
        <xdr:cNvPicPr>
          <a:picLocks noChangeAspect="1" noChangeArrowheads="1"/>
        </xdr:cNvPicPr>
      </xdr:nvPicPr>
      <xdr:blipFill>
        <a:blip xmlns:r="http://schemas.openxmlformats.org/officeDocument/2006/relationships" r:embed="rId1" cstate="print"/>
        <a:srcRect/>
        <a:stretch>
          <a:fillRect/>
        </a:stretch>
      </xdr:blipFill>
      <xdr:spPr bwMode="auto">
        <a:xfrm>
          <a:off x="8086726" y="10981"/>
          <a:ext cx="342900" cy="249460"/>
        </a:xfrm>
        <a:prstGeom prst="rect">
          <a:avLst/>
        </a:prstGeom>
        <a:noFill/>
      </xdr:spPr>
    </xdr:pic>
    <xdr:clientData/>
  </xdr:twoCellAnchor>
  <xdr:twoCellAnchor editAs="oneCell">
    <xdr:from>
      <xdr:col>2</xdr:col>
      <xdr:colOff>0</xdr:colOff>
      <xdr:row>167</xdr:row>
      <xdr:rowOff>0</xdr:rowOff>
    </xdr:from>
    <xdr:to>
      <xdr:col>7</xdr:col>
      <xdr:colOff>158893</xdr:colOff>
      <xdr:row>167</xdr:row>
      <xdr:rowOff>3400921</xdr:rowOff>
    </xdr:to>
    <xdr:pic>
      <xdr:nvPicPr>
        <xdr:cNvPr id="6" name="Bilde 5"/>
        <xdr:cNvPicPr/>
      </xdr:nvPicPr>
      <xdr:blipFill>
        <a:blip xmlns:r="http://schemas.openxmlformats.org/officeDocument/2006/relationships" r:embed="rId2" cstate="print"/>
        <a:srcRect/>
        <a:stretch>
          <a:fillRect/>
        </a:stretch>
      </xdr:blipFill>
      <xdr:spPr bwMode="auto">
        <a:xfrm>
          <a:off x="342900" y="24250650"/>
          <a:ext cx="4654693" cy="340092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160</xdr:row>
      <xdr:rowOff>0</xdr:rowOff>
    </xdr:from>
    <xdr:to>
      <xdr:col>6</xdr:col>
      <xdr:colOff>341161</xdr:colOff>
      <xdr:row>160</xdr:row>
      <xdr:rowOff>3604989</xdr:rowOff>
    </xdr:to>
    <xdr:pic>
      <xdr:nvPicPr>
        <xdr:cNvPr id="7" name="Bilde 6"/>
        <xdr:cNvPicPr/>
      </xdr:nvPicPr>
      <xdr:blipFill>
        <a:blip xmlns:r="http://schemas.openxmlformats.org/officeDocument/2006/relationships" r:embed="rId1" cstate="print"/>
        <a:srcRect b="6701"/>
        <a:stretch>
          <a:fillRect/>
        </a:stretch>
      </xdr:blipFill>
      <xdr:spPr bwMode="auto">
        <a:xfrm>
          <a:off x="342900" y="25403175"/>
          <a:ext cx="4465486" cy="3604989"/>
        </a:xfrm>
        <a:prstGeom prst="rect">
          <a:avLst/>
        </a:prstGeom>
        <a:noFill/>
        <a:ln w="9525">
          <a:noFill/>
          <a:miter lim="800000"/>
          <a:headEnd/>
          <a:tailEnd/>
        </a:ln>
      </xdr:spPr>
    </xdr:pic>
    <xdr:clientData/>
  </xdr:twoCellAnchor>
  <xdr:twoCellAnchor editAs="oneCell">
    <xdr:from>
      <xdr:col>7</xdr:col>
      <xdr:colOff>1304925</xdr:colOff>
      <xdr:row>0</xdr:row>
      <xdr:rowOff>9525</xdr:rowOff>
    </xdr:from>
    <xdr:to>
      <xdr:col>7</xdr:col>
      <xdr:colOff>1647825</xdr:colOff>
      <xdr:row>0</xdr:row>
      <xdr:rowOff>258985</xdr:rowOff>
    </xdr:to>
    <xdr:pic>
      <xdr:nvPicPr>
        <xdr:cNvPr id="6" name="Picture 2" descr="Fil:Flag of Norway.svg"/>
        <xdr:cNvPicPr>
          <a:picLocks noChangeAspect="1" noChangeArrowheads="1"/>
        </xdr:cNvPicPr>
      </xdr:nvPicPr>
      <xdr:blipFill>
        <a:blip xmlns:r="http://schemas.openxmlformats.org/officeDocument/2006/relationships" r:embed="rId2" cstate="print"/>
        <a:srcRect/>
        <a:stretch>
          <a:fillRect/>
        </a:stretch>
      </xdr:blipFill>
      <xdr:spPr bwMode="auto">
        <a:xfrm>
          <a:off x="6143625" y="9525"/>
          <a:ext cx="342900" cy="24946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164</xdr:row>
      <xdr:rowOff>0</xdr:rowOff>
    </xdr:from>
    <xdr:to>
      <xdr:col>7</xdr:col>
      <xdr:colOff>31993</xdr:colOff>
      <xdr:row>164</xdr:row>
      <xdr:rowOff>3669949</xdr:rowOff>
    </xdr:to>
    <xdr:pic>
      <xdr:nvPicPr>
        <xdr:cNvPr id="6" name="Bilde 5"/>
        <xdr:cNvPicPr/>
      </xdr:nvPicPr>
      <xdr:blipFill>
        <a:blip xmlns:r="http://schemas.openxmlformats.org/officeDocument/2006/relationships" r:embed="rId1" cstate="print"/>
        <a:srcRect/>
        <a:stretch>
          <a:fillRect/>
        </a:stretch>
      </xdr:blipFill>
      <xdr:spPr bwMode="auto">
        <a:xfrm>
          <a:off x="342900" y="24593550"/>
          <a:ext cx="4527793" cy="3669949"/>
        </a:xfrm>
        <a:prstGeom prst="rect">
          <a:avLst/>
        </a:prstGeom>
        <a:noFill/>
        <a:ln w="9525">
          <a:noFill/>
          <a:miter lim="800000"/>
          <a:headEnd/>
          <a:tailEnd/>
        </a:ln>
      </xdr:spPr>
    </xdr:pic>
    <xdr:clientData/>
  </xdr:twoCellAnchor>
  <xdr:twoCellAnchor editAs="oneCell">
    <xdr:from>
      <xdr:col>4</xdr:col>
      <xdr:colOff>257175</xdr:colOff>
      <xdr:row>0</xdr:row>
      <xdr:rowOff>9525</xdr:rowOff>
    </xdr:from>
    <xdr:to>
      <xdr:col>4</xdr:col>
      <xdr:colOff>600075</xdr:colOff>
      <xdr:row>0</xdr:row>
      <xdr:rowOff>258985</xdr:rowOff>
    </xdr:to>
    <xdr:pic>
      <xdr:nvPicPr>
        <xdr:cNvPr id="5" name="Picture 2" descr="Fil:Flag of Norway.svg"/>
        <xdr:cNvPicPr>
          <a:picLocks noChangeAspect="1" noChangeArrowheads="1"/>
        </xdr:cNvPicPr>
      </xdr:nvPicPr>
      <xdr:blipFill>
        <a:blip xmlns:r="http://schemas.openxmlformats.org/officeDocument/2006/relationships" r:embed="rId2" cstate="print"/>
        <a:srcRect/>
        <a:stretch>
          <a:fillRect/>
        </a:stretch>
      </xdr:blipFill>
      <xdr:spPr bwMode="auto">
        <a:xfrm>
          <a:off x="3181350" y="9525"/>
          <a:ext cx="342900" cy="24946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131</xdr:row>
      <xdr:rowOff>0</xdr:rowOff>
    </xdr:from>
    <xdr:to>
      <xdr:col>6</xdr:col>
      <xdr:colOff>241036</xdr:colOff>
      <xdr:row>132</xdr:row>
      <xdr:rowOff>50301</xdr:rowOff>
    </xdr:to>
    <xdr:pic>
      <xdr:nvPicPr>
        <xdr:cNvPr id="6" name="Bilde 5"/>
        <xdr:cNvPicPr/>
      </xdr:nvPicPr>
      <xdr:blipFill>
        <a:blip xmlns:r="http://schemas.openxmlformats.org/officeDocument/2006/relationships" r:embed="rId1" cstate="print"/>
        <a:srcRect/>
        <a:stretch>
          <a:fillRect/>
        </a:stretch>
      </xdr:blipFill>
      <xdr:spPr bwMode="auto">
        <a:xfrm>
          <a:off x="342900" y="18821400"/>
          <a:ext cx="4365361" cy="3050676"/>
        </a:xfrm>
        <a:prstGeom prst="rect">
          <a:avLst/>
        </a:prstGeom>
        <a:noFill/>
        <a:ln w="9525">
          <a:noFill/>
          <a:miter lim="800000"/>
          <a:headEnd/>
          <a:tailEnd/>
        </a:ln>
      </xdr:spPr>
    </xdr:pic>
    <xdr:clientData/>
  </xdr:twoCellAnchor>
  <xdr:twoCellAnchor editAs="oneCell">
    <xdr:from>
      <xdr:col>4</xdr:col>
      <xdr:colOff>361950</xdr:colOff>
      <xdr:row>0</xdr:row>
      <xdr:rowOff>0</xdr:rowOff>
    </xdr:from>
    <xdr:to>
      <xdr:col>4</xdr:col>
      <xdr:colOff>704850</xdr:colOff>
      <xdr:row>0</xdr:row>
      <xdr:rowOff>249460</xdr:rowOff>
    </xdr:to>
    <xdr:pic>
      <xdr:nvPicPr>
        <xdr:cNvPr id="5" name="Picture 2" descr="Fil:Flag of Norway.svg"/>
        <xdr:cNvPicPr>
          <a:picLocks noChangeAspect="1" noChangeArrowheads="1"/>
        </xdr:cNvPicPr>
      </xdr:nvPicPr>
      <xdr:blipFill>
        <a:blip xmlns:r="http://schemas.openxmlformats.org/officeDocument/2006/relationships" r:embed="rId2" cstate="print"/>
        <a:srcRect/>
        <a:stretch>
          <a:fillRect/>
        </a:stretch>
      </xdr:blipFill>
      <xdr:spPr bwMode="auto">
        <a:xfrm>
          <a:off x="3286125" y="0"/>
          <a:ext cx="342900" cy="24946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75</xdr:row>
      <xdr:rowOff>0</xdr:rowOff>
    </xdr:from>
    <xdr:to>
      <xdr:col>7</xdr:col>
      <xdr:colOff>49530</xdr:colOff>
      <xdr:row>75</xdr:row>
      <xdr:rowOff>2327634</xdr:rowOff>
    </xdr:to>
    <xdr:pic>
      <xdr:nvPicPr>
        <xdr:cNvPr id="5" name="Bilde 4"/>
        <xdr:cNvPicPr/>
      </xdr:nvPicPr>
      <xdr:blipFill>
        <a:blip xmlns:r="http://schemas.openxmlformats.org/officeDocument/2006/relationships" r:embed="rId1" cstate="print"/>
        <a:srcRect t="5937" b="22475"/>
        <a:stretch>
          <a:fillRect/>
        </a:stretch>
      </xdr:blipFill>
      <xdr:spPr bwMode="auto">
        <a:xfrm>
          <a:off x="342900" y="15163800"/>
          <a:ext cx="4545330" cy="2327634"/>
        </a:xfrm>
        <a:prstGeom prst="rect">
          <a:avLst/>
        </a:prstGeom>
        <a:noFill/>
        <a:ln w="9525">
          <a:noFill/>
          <a:miter lim="800000"/>
          <a:headEnd/>
          <a:tailEnd/>
        </a:ln>
      </xdr:spPr>
    </xdr:pic>
    <xdr:clientData/>
  </xdr:twoCellAnchor>
  <xdr:twoCellAnchor editAs="oneCell">
    <xdr:from>
      <xdr:col>4</xdr:col>
      <xdr:colOff>323850</xdr:colOff>
      <xdr:row>0</xdr:row>
      <xdr:rowOff>0</xdr:rowOff>
    </xdr:from>
    <xdr:to>
      <xdr:col>4</xdr:col>
      <xdr:colOff>666750</xdr:colOff>
      <xdr:row>0</xdr:row>
      <xdr:rowOff>249460</xdr:rowOff>
    </xdr:to>
    <xdr:pic>
      <xdr:nvPicPr>
        <xdr:cNvPr id="6" name="Picture 2" descr="Fil:Flag of Norway.svg"/>
        <xdr:cNvPicPr>
          <a:picLocks noChangeAspect="1" noChangeArrowheads="1"/>
        </xdr:cNvPicPr>
      </xdr:nvPicPr>
      <xdr:blipFill>
        <a:blip xmlns:r="http://schemas.openxmlformats.org/officeDocument/2006/relationships" r:embed="rId2" cstate="print"/>
        <a:srcRect/>
        <a:stretch>
          <a:fillRect/>
        </a:stretch>
      </xdr:blipFill>
      <xdr:spPr bwMode="auto">
        <a:xfrm>
          <a:off x="3248025" y="0"/>
          <a:ext cx="342900" cy="24946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50</xdr:row>
      <xdr:rowOff>0</xdr:rowOff>
    </xdr:from>
    <xdr:to>
      <xdr:col>6</xdr:col>
      <xdr:colOff>144592</xdr:colOff>
      <xdr:row>50</xdr:row>
      <xdr:rowOff>1766448</xdr:rowOff>
    </xdr:to>
    <xdr:pic>
      <xdr:nvPicPr>
        <xdr:cNvPr id="5" name="Bilde 4"/>
        <xdr:cNvPicPr/>
      </xdr:nvPicPr>
      <xdr:blipFill>
        <a:blip xmlns:r="http://schemas.openxmlformats.org/officeDocument/2006/relationships" r:embed="rId1" cstate="print"/>
        <a:srcRect/>
        <a:stretch>
          <a:fillRect/>
        </a:stretch>
      </xdr:blipFill>
      <xdr:spPr bwMode="auto">
        <a:xfrm>
          <a:off x="342900" y="11229975"/>
          <a:ext cx="4268917" cy="1766448"/>
        </a:xfrm>
        <a:prstGeom prst="rect">
          <a:avLst/>
        </a:prstGeom>
        <a:noFill/>
        <a:ln w="9525">
          <a:noFill/>
          <a:miter lim="800000"/>
          <a:headEnd/>
          <a:tailEnd/>
        </a:ln>
      </xdr:spPr>
    </xdr:pic>
    <xdr:clientData/>
  </xdr:twoCellAnchor>
  <xdr:twoCellAnchor editAs="oneCell">
    <xdr:from>
      <xdr:col>4</xdr:col>
      <xdr:colOff>457200</xdr:colOff>
      <xdr:row>0</xdr:row>
      <xdr:rowOff>9525</xdr:rowOff>
    </xdr:from>
    <xdr:to>
      <xdr:col>5</xdr:col>
      <xdr:colOff>28575</xdr:colOff>
      <xdr:row>0</xdr:row>
      <xdr:rowOff>258985</xdr:rowOff>
    </xdr:to>
    <xdr:pic>
      <xdr:nvPicPr>
        <xdr:cNvPr id="8" name="Picture 2" descr="Fil:Flag of Norway.svg"/>
        <xdr:cNvPicPr>
          <a:picLocks noChangeAspect="1" noChangeArrowheads="1"/>
        </xdr:cNvPicPr>
      </xdr:nvPicPr>
      <xdr:blipFill>
        <a:blip xmlns:r="http://schemas.openxmlformats.org/officeDocument/2006/relationships" r:embed="rId2" cstate="print"/>
        <a:srcRect/>
        <a:stretch>
          <a:fillRect/>
        </a:stretch>
      </xdr:blipFill>
      <xdr:spPr bwMode="auto">
        <a:xfrm>
          <a:off x="3381375" y="9525"/>
          <a:ext cx="342900" cy="249460"/>
        </a:xfrm>
        <a:prstGeom prst="rect">
          <a:avLst/>
        </a:prstGeom>
        <a:noFill/>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file:///C:\Users\tcr\AppData\Local\Microsoft\Windows\Temporary%20Internet%20Files\Content.Outlook\L3OZL4OF\2013-05-15%203872%20ITS-Virkningsberegninger.xlsx" TargetMode="External"/><Relationship Id="rId1" Type="http://schemas.openxmlformats.org/officeDocument/2006/relationships/hyperlink" Target="file:///C:\Users\tcr\AppData\Local\Microsoft\Windows\Temporary%20Internet%20Files\Content.Outlook\L3OZL4OF\2013-05-15%203872%20ITS-Virkningsberegninger.xlsx"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tabColor rgb="FF0070C0"/>
    <pageSetUpPr fitToPage="1"/>
  </sheetPr>
  <dimension ref="A1:C45"/>
  <sheetViews>
    <sheetView showGridLines="0" tabSelected="1" workbookViewId="0"/>
  </sheetViews>
  <sheetFormatPr baseColWidth="10" defaultColWidth="0" defaultRowHeight="15" zeroHeight="1" x14ac:dyDescent="0.25"/>
  <cols>
    <col min="1" max="1" width="3.140625" customWidth="1"/>
    <col min="2" max="2" width="5.7109375" customWidth="1"/>
    <col min="3" max="3" width="123.140625" style="372" customWidth="1"/>
    <col min="4" max="16384" width="11.42578125" hidden="1"/>
  </cols>
  <sheetData>
    <row r="1" spans="1:3" ht="18.75" x14ac:dyDescent="0.25">
      <c r="A1" s="144" t="s">
        <v>634</v>
      </c>
    </row>
    <row r="2" spans="1:3" s="359" customFormat="1" ht="4.5" customHeight="1" x14ac:dyDescent="0.25">
      <c r="A2" s="371"/>
      <c r="C2" s="372"/>
    </row>
    <row r="3" spans="1:3" s="359" customFormat="1" ht="18.75" x14ac:dyDescent="0.25">
      <c r="A3" s="371">
        <v>1</v>
      </c>
      <c r="B3" s="371" t="s">
        <v>642</v>
      </c>
      <c r="C3" s="372"/>
    </row>
    <row r="4" spans="1:3" s="359" customFormat="1" ht="30" x14ac:dyDescent="0.25">
      <c r="C4" s="481" t="s">
        <v>982</v>
      </c>
    </row>
    <row r="5" spans="1:3" s="359" customFormat="1" ht="4.5" customHeight="1" x14ac:dyDescent="0.25">
      <c r="A5" s="371"/>
      <c r="C5" s="372"/>
    </row>
    <row r="6" spans="1:3" s="359" customFormat="1" ht="18.75" x14ac:dyDescent="0.25">
      <c r="A6" s="371">
        <f>MAXA(A$3:A5)+1</f>
        <v>2</v>
      </c>
      <c r="B6" s="371" t="s">
        <v>1012</v>
      </c>
      <c r="C6" s="372"/>
    </row>
    <row r="7" spans="1:3" s="359" customFormat="1" ht="30" x14ac:dyDescent="0.25">
      <c r="C7" s="496" t="s">
        <v>1027</v>
      </c>
    </row>
    <row r="8" spans="1:3" s="359" customFormat="1" ht="15" customHeight="1" x14ac:dyDescent="0.25">
      <c r="A8" s="371"/>
      <c r="C8" s="600">
        <v>2014</v>
      </c>
    </row>
    <row r="9" spans="1:3" s="359" customFormat="1" ht="30" x14ac:dyDescent="0.25">
      <c r="C9" s="480" t="s">
        <v>1028</v>
      </c>
    </row>
    <row r="10" spans="1:3" s="500" customFormat="1" ht="30" x14ac:dyDescent="0.25">
      <c r="C10" s="501" t="s">
        <v>1029</v>
      </c>
    </row>
    <row r="11" spans="1:3" s="359" customFormat="1" ht="4.5" customHeight="1" x14ac:dyDescent="0.25">
      <c r="A11" s="371"/>
      <c r="C11" s="372"/>
    </row>
    <row r="12" spans="1:3" s="359" customFormat="1" ht="18.75" x14ac:dyDescent="0.25">
      <c r="A12" s="371">
        <f>MAXA(A$3:A7)+1</f>
        <v>3</v>
      </c>
      <c r="B12" s="371" t="s">
        <v>643</v>
      </c>
      <c r="C12" s="372"/>
    </row>
    <row r="13" spans="1:3" s="359" customFormat="1" ht="30" x14ac:dyDescent="0.25">
      <c r="C13" s="501" t="s">
        <v>1014</v>
      </c>
    </row>
    <row r="14" spans="1:3" s="359" customFormat="1" x14ac:dyDescent="0.25">
      <c r="C14" s="372" t="s">
        <v>646</v>
      </c>
    </row>
    <row r="15" spans="1:3" s="359" customFormat="1" ht="4.5" customHeight="1" x14ac:dyDescent="0.25">
      <c r="A15" s="371"/>
      <c r="C15" s="372"/>
    </row>
    <row r="16" spans="1:3" x14ac:dyDescent="0.25">
      <c r="B16" s="5"/>
      <c r="C16" s="372" t="s">
        <v>732</v>
      </c>
    </row>
    <row r="17" spans="1:3" x14ac:dyDescent="0.25">
      <c r="B17" s="2"/>
      <c r="C17" s="493" t="s">
        <v>733</v>
      </c>
    </row>
    <row r="18" spans="1:3" x14ac:dyDescent="0.25">
      <c r="B18" s="9"/>
      <c r="C18" s="372" t="s">
        <v>644</v>
      </c>
    </row>
    <row r="19" spans="1:3" x14ac:dyDescent="0.25">
      <c r="B19" s="6"/>
      <c r="C19" s="372" t="s">
        <v>645</v>
      </c>
    </row>
    <row r="20" spans="1:3" x14ac:dyDescent="0.25">
      <c r="B20" s="433"/>
      <c r="C20" s="480" t="s">
        <v>976</v>
      </c>
    </row>
    <row r="21" spans="1:3" s="359" customFormat="1" ht="4.5" customHeight="1" x14ac:dyDescent="0.25">
      <c r="A21" s="371"/>
      <c r="C21" s="372"/>
    </row>
    <row r="22" spans="1:3" s="359" customFormat="1" ht="30" x14ac:dyDescent="0.25">
      <c r="C22" s="372" t="s">
        <v>648</v>
      </c>
    </row>
    <row r="23" spans="1:3" s="359" customFormat="1" ht="4.5" customHeight="1" x14ac:dyDescent="0.25">
      <c r="A23" s="371"/>
      <c r="C23" s="372"/>
    </row>
    <row r="24" spans="1:3" ht="18.75" x14ac:dyDescent="0.25">
      <c r="A24" s="371">
        <f>MAXA(A$3:A20)+1</f>
        <v>4</v>
      </c>
      <c r="B24" s="371" t="s">
        <v>647</v>
      </c>
    </row>
    <row r="25" spans="1:3" ht="30" x14ac:dyDescent="0.25">
      <c r="C25" s="372" t="s">
        <v>1030</v>
      </c>
    </row>
    <row r="26" spans="1:3" ht="30" x14ac:dyDescent="0.25">
      <c r="A26" s="297"/>
      <c r="C26" s="480" t="s">
        <v>970</v>
      </c>
    </row>
    <row r="27" spans="1:3" s="366" customFormat="1" ht="4.5" customHeight="1" x14ac:dyDescent="0.25">
      <c r="A27" s="371"/>
      <c r="C27" s="480"/>
    </row>
    <row r="28" spans="1:3" s="366" customFormat="1" ht="18.75" x14ac:dyDescent="0.25">
      <c r="A28" s="371">
        <f>MAXA(A$3:A24)+1</f>
        <v>5</v>
      </c>
      <c r="B28" s="371" t="s">
        <v>972</v>
      </c>
      <c r="C28" s="480"/>
    </row>
    <row r="29" spans="1:3" ht="75" x14ac:dyDescent="0.25">
      <c r="C29" s="501" t="s">
        <v>1013</v>
      </c>
    </row>
    <row r="30" spans="1:3" s="492" customFormat="1" ht="4.5" customHeight="1" x14ac:dyDescent="0.25">
      <c r="A30" s="371"/>
      <c r="C30" s="491"/>
    </row>
    <row r="31" spans="1:3" s="492" customFormat="1" ht="18.75" x14ac:dyDescent="0.25">
      <c r="A31" s="371">
        <f>MAXA(A$3:A28)+1</f>
        <v>6</v>
      </c>
      <c r="B31" s="371" t="s">
        <v>987</v>
      </c>
      <c r="C31" s="491"/>
    </row>
    <row r="32" spans="1:3" s="492" customFormat="1" x14ac:dyDescent="0.25">
      <c r="C32" s="491" t="s">
        <v>988</v>
      </c>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sheetData>
  <sheetProtection algorithmName="SHA-512" hashValue="rIpZblDgHzDZ0ZVTOkJ7y5G9MqI414KXo2/ZMR3e5XhQyNIpq7OzzEAsyrIok6OO7hLhyHfKiOqxi81jEvxRXQ==" saltValue="a+dcBPsmK1HN6FdAohKlBw==" spinCount="100000" sheet="1" objects="1" scenarios="1"/>
  <pageMargins left="0.70866141732283472" right="0.39370078740157483" top="0.78740157480314965" bottom="0.78740157480314965" header="0.31496062992125984" footer="0.31496062992125984"/>
  <pageSetup paperSize="9" fitToHeight="0" orientation="landscape" r:id="rId1"/>
  <headerFooter>
    <oddFooter>&amp;LITS-Virkningsberegninger (versjon fra 30. okt. 2014)
TØI-Rapport 1289/2013&amp;C&amp;"-,Fet"&amp;12&amp;A&amp;RSide &amp;P</oddFooter>
  </headerFooter>
  <rowBreaks count="1" manualBreakCount="1">
    <brk id="1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theme="1" tint="0.499984740745262"/>
  </sheetPr>
  <dimension ref="A1:P148"/>
  <sheetViews>
    <sheetView showGridLines="0" workbookViewId="0">
      <pane ySplit="3" topLeftCell="A4" activePane="bottomLeft" state="frozen"/>
      <selection activeCell="E82" sqref="E82"/>
      <selection pane="bottomLeft" activeCell="A4" sqref="A4"/>
    </sheetView>
  </sheetViews>
  <sheetFormatPr baseColWidth="10" defaultColWidth="11.42578125" defaultRowHeight="15" x14ac:dyDescent="0.25"/>
  <cols>
    <col min="1" max="1" width="19" style="10" customWidth="1"/>
    <col min="2" max="2" width="34.28515625" style="10" bestFit="1" customWidth="1"/>
    <col min="3" max="3" width="11.42578125" style="10" customWidth="1"/>
    <col min="4" max="4" width="10.85546875" style="10" customWidth="1"/>
    <col min="5" max="5" width="9.7109375" style="10" customWidth="1"/>
    <col min="6" max="6" width="5.5703125" style="604" bestFit="1" customWidth="1"/>
    <col min="7" max="7" width="6.140625" style="604" bestFit="1" customWidth="1"/>
    <col min="8" max="8" width="1.5703125" style="262" customWidth="1"/>
    <col min="9" max="9" width="19" style="10" customWidth="1"/>
    <col min="10" max="10" width="34.28515625" style="10" bestFit="1" customWidth="1"/>
    <col min="11" max="11" width="11.42578125" style="10" customWidth="1"/>
    <col min="12" max="12" width="10.85546875" style="10" customWidth="1"/>
    <col min="13" max="13" width="9.7109375" style="10" customWidth="1"/>
    <col min="14" max="14" width="5.5703125" style="604" bestFit="1" customWidth="1"/>
    <col min="15" max="15" width="0.5703125" style="10" customWidth="1"/>
    <col min="16" max="16" width="1.5703125" style="262" customWidth="1"/>
    <col min="17" max="16384" width="11.42578125" style="11"/>
  </cols>
  <sheetData>
    <row r="1" spans="1:16" x14ac:dyDescent="0.25">
      <c r="A1" s="602" t="str">
        <f>I1</f>
        <v>Norge</v>
      </c>
      <c r="B1" s="603"/>
      <c r="I1" s="605" t="s">
        <v>62</v>
      </c>
      <c r="J1" s="603"/>
    </row>
    <row r="2" spans="1:16" x14ac:dyDescent="0.25">
      <c r="A2" s="603" t="str">
        <f>IF(A1="Norge","Indeksjusterte enhetspriser","")</f>
        <v>Indeksjusterte enhetspriser</v>
      </c>
      <c r="F2" s="606" t="s">
        <v>656</v>
      </c>
      <c r="I2" s="603" t="s">
        <v>654</v>
      </c>
      <c r="N2" s="606" t="s">
        <v>656</v>
      </c>
    </row>
    <row r="3" spans="1:16" x14ac:dyDescent="0.25">
      <c r="A3" s="607" t="str">
        <f>I3</f>
        <v>Enhetsprisene indeksjusteres til år:</v>
      </c>
      <c r="C3" s="607">
        <f>K3</f>
        <v>2014</v>
      </c>
      <c r="F3" s="606" t="s">
        <v>649</v>
      </c>
      <c r="G3" s="606" t="s">
        <v>651</v>
      </c>
      <c r="I3" s="607" t="s">
        <v>655</v>
      </c>
      <c r="K3" s="607">
        <f>Bruksanvisning!C8</f>
        <v>2014</v>
      </c>
      <c r="N3" s="606" t="s">
        <v>649</v>
      </c>
      <c r="O3" s="608"/>
    </row>
    <row r="4" spans="1:16" x14ac:dyDescent="0.25">
      <c r="A4" s="609"/>
      <c r="I4" s="609"/>
    </row>
    <row r="5" spans="1:16" s="613" customFormat="1" x14ac:dyDescent="0.25">
      <c r="A5" s="610" t="s">
        <v>467</v>
      </c>
      <c r="B5" s="611"/>
      <c r="C5" s="611"/>
      <c r="D5" s="611"/>
      <c r="E5" s="611"/>
      <c r="F5" s="612"/>
      <c r="G5" s="612"/>
      <c r="H5" s="262"/>
      <c r="I5" s="610" t="s">
        <v>467</v>
      </c>
      <c r="J5" s="611"/>
      <c r="K5" s="611"/>
      <c r="L5" s="611"/>
      <c r="M5" s="611"/>
      <c r="N5" s="612"/>
      <c r="O5" s="611"/>
      <c r="P5" s="262"/>
    </row>
    <row r="6" spans="1:16" x14ac:dyDescent="0.25">
      <c r="A6" s="603" t="s">
        <v>8</v>
      </c>
      <c r="B6" s="609">
        <f>J6</f>
        <v>4</v>
      </c>
      <c r="C6" s="529" t="s">
        <v>61</v>
      </c>
      <c r="F6" s="614"/>
      <c r="G6" s="614"/>
      <c r="H6" s="615"/>
      <c r="I6" s="603" t="s">
        <v>8</v>
      </c>
      <c r="J6" s="716">
        <v>4</v>
      </c>
      <c r="K6" s="529" t="s">
        <v>61</v>
      </c>
      <c r="N6" s="614"/>
      <c r="O6" s="609"/>
      <c r="P6" s="615"/>
    </row>
    <row r="7" spans="1:16" x14ac:dyDescent="0.25">
      <c r="A7" s="603" t="s">
        <v>55</v>
      </c>
      <c r="B7" s="609">
        <f>J7</f>
        <v>20</v>
      </c>
      <c r="C7" s="529" t="s">
        <v>61</v>
      </c>
      <c r="F7" s="614"/>
      <c r="G7" s="614"/>
      <c r="H7" s="616"/>
      <c r="I7" s="603" t="s">
        <v>55</v>
      </c>
      <c r="J7" s="716">
        <v>20</v>
      </c>
      <c r="K7" s="529" t="s">
        <v>61</v>
      </c>
      <c r="N7" s="614"/>
      <c r="O7" s="609"/>
      <c r="P7" s="616"/>
    </row>
    <row r="8" spans="1:16" x14ac:dyDescent="0.25">
      <c r="A8" s="603"/>
      <c r="B8" s="609"/>
      <c r="C8" s="529"/>
      <c r="F8" s="614"/>
      <c r="G8" s="614"/>
      <c r="H8" s="616"/>
      <c r="I8" s="603"/>
      <c r="J8" s="609"/>
      <c r="K8" s="529"/>
      <c r="N8" s="614"/>
      <c r="O8" s="609"/>
      <c r="P8" s="616"/>
    </row>
    <row r="9" spans="1:16" s="621" customFormat="1" x14ac:dyDescent="0.25">
      <c r="A9" s="617" t="s">
        <v>820</v>
      </c>
      <c r="B9" s="618"/>
      <c r="C9" s="619"/>
      <c r="D9" s="618"/>
      <c r="E9" s="618"/>
      <c r="F9" s="620"/>
      <c r="G9" s="620"/>
      <c r="H9" s="616"/>
      <c r="I9" s="617" t="s">
        <v>820</v>
      </c>
      <c r="J9" s="618"/>
      <c r="K9" s="619"/>
      <c r="L9" s="618"/>
      <c r="M9" s="618"/>
      <c r="N9" s="620"/>
      <c r="O9" s="618"/>
      <c r="P9" s="616"/>
    </row>
    <row r="10" spans="1:16" s="613" customFormat="1" x14ac:dyDescent="0.25">
      <c r="A10" s="622" t="s">
        <v>468</v>
      </c>
      <c r="B10" s="611"/>
      <c r="C10" s="611"/>
      <c r="D10" s="611"/>
      <c r="E10" s="611"/>
      <c r="F10" s="612"/>
      <c r="G10" s="612"/>
      <c r="H10" s="615"/>
      <c r="I10" s="622" t="s">
        <v>468</v>
      </c>
      <c r="J10" s="611"/>
      <c r="K10" s="611"/>
      <c r="L10" s="611"/>
      <c r="M10" s="611"/>
      <c r="N10" s="612"/>
      <c r="O10" s="611"/>
      <c r="P10" s="615"/>
    </row>
    <row r="11" spans="1:16" s="613" customFormat="1" x14ac:dyDescent="0.25">
      <c r="A11" s="622" t="s">
        <v>469</v>
      </c>
      <c r="B11" s="611"/>
      <c r="C11" s="611"/>
      <c r="D11" s="611"/>
      <c r="E11" s="611"/>
      <c r="F11" s="612"/>
      <c r="G11" s="612"/>
      <c r="H11" s="615"/>
      <c r="I11" s="622" t="s">
        <v>469</v>
      </c>
      <c r="J11" s="611"/>
      <c r="K11" s="611"/>
      <c r="L11" s="611"/>
      <c r="M11" s="611"/>
      <c r="N11" s="612"/>
      <c r="O11" s="611"/>
      <c r="P11" s="615"/>
    </row>
    <row r="12" spans="1:16" x14ac:dyDescent="0.25">
      <c r="A12" s="623"/>
      <c r="B12" s="623"/>
      <c r="C12" s="624" t="s">
        <v>1020</v>
      </c>
      <c r="F12" s="614"/>
      <c r="G12" s="614"/>
      <c r="H12" s="616"/>
      <c r="I12" s="623"/>
      <c r="J12" s="623"/>
      <c r="K12" s="624" t="s">
        <v>1023</v>
      </c>
      <c r="N12" s="718" t="s">
        <v>1024</v>
      </c>
      <c r="O12" s="609"/>
      <c r="P12" s="616"/>
    </row>
    <row r="13" spans="1:16" x14ac:dyDescent="0.25">
      <c r="A13" s="603" t="s">
        <v>470</v>
      </c>
      <c r="B13" s="609"/>
      <c r="C13" s="625">
        <f t="shared" ref="C13:C18" si="0">K13*G13/100</f>
        <v>35370154.666703999</v>
      </c>
      <c r="F13" s="614">
        <f>N13</f>
        <v>2009</v>
      </c>
      <c r="G13" s="626">
        <f>IF($A$1="Norge",VLOOKUP(F13,Indeksjustering!$C$24:$D$35,2),100)</f>
        <v>117.0312</v>
      </c>
      <c r="H13" s="616"/>
      <c r="I13" s="603" t="s">
        <v>470</v>
      </c>
      <c r="J13" s="609"/>
      <c r="K13" s="507">
        <v>30222842</v>
      </c>
      <c r="N13" s="721">
        <v>2009</v>
      </c>
      <c r="O13" s="627"/>
      <c r="P13" s="616"/>
    </row>
    <row r="14" spans="1:16" x14ac:dyDescent="0.25">
      <c r="A14" s="603" t="s">
        <v>471</v>
      </c>
      <c r="B14" s="609"/>
      <c r="C14" s="625">
        <f t="shared" si="0"/>
        <v>26838698.388216</v>
      </c>
      <c r="F14" s="614">
        <f t="shared" ref="F14:F18" si="1">N14</f>
        <v>2009</v>
      </c>
      <c r="G14" s="626">
        <f>IF($A$1="Norge",VLOOKUP(F14,Indeksjustering!$C$24:$D$35,2),100)</f>
        <v>117.0312</v>
      </c>
      <c r="H14" s="616"/>
      <c r="I14" s="603" t="s">
        <v>471</v>
      </c>
      <c r="J14" s="609"/>
      <c r="K14" s="507">
        <v>22932943</v>
      </c>
      <c r="N14" s="721">
        <v>2009</v>
      </c>
      <c r="O14" s="627"/>
      <c r="P14" s="616"/>
    </row>
    <row r="15" spans="1:16" x14ac:dyDescent="0.25">
      <c r="A15" s="603" t="s">
        <v>472</v>
      </c>
      <c r="B15" s="609"/>
      <c r="C15" s="625">
        <f t="shared" si="0"/>
        <v>12389790.033192001</v>
      </c>
      <c r="F15" s="614">
        <f t="shared" si="1"/>
        <v>2009</v>
      </c>
      <c r="G15" s="626">
        <f>IF($A$1="Norge",VLOOKUP(F15,Indeksjustering!$C$24:$D$35,2),100)</f>
        <v>117.0312</v>
      </c>
      <c r="H15" s="616"/>
      <c r="I15" s="603" t="s">
        <v>472</v>
      </c>
      <c r="J15" s="609"/>
      <c r="K15" s="507">
        <v>10586741</v>
      </c>
      <c r="N15" s="721">
        <v>2009</v>
      </c>
      <c r="O15" s="627"/>
      <c r="P15" s="616"/>
    </row>
    <row r="16" spans="1:16" x14ac:dyDescent="0.25">
      <c r="A16" s="603" t="s">
        <v>473</v>
      </c>
      <c r="B16" s="609"/>
      <c r="C16" s="625">
        <f t="shared" si="0"/>
        <v>9530607.8078639992</v>
      </c>
      <c r="F16" s="614">
        <f t="shared" si="1"/>
        <v>2009</v>
      </c>
      <c r="G16" s="626">
        <f>IF($A$1="Norge",VLOOKUP(F16,Indeksjustering!$C$24:$D$35,2),100)</f>
        <v>117.0312</v>
      </c>
      <c r="H16" s="616"/>
      <c r="I16" s="603" t="s">
        <v>473</v>
      </c>
      <c r="J16" s="609"/>
      <c r="K16" s="507">
        <v>8143647</v>
      </c>
      <c r="N16" s="721">
        <v>2009</v>
      </c>
      <c r="O16" s="627"/>
      <c r="P16" s="616"/>
    </row>
    <row r="17" spans="1:16" x14ac:dyDescent="0.25">
      <c r="A17" s="628" t="s">
        <v>474</v>
      </c>
      <c r="B17" s="629"/>
      <c r="C17" s="630">
        <f t="shared" si="0"/>
        <v>718205.26034400007</v>
      </c>
      <c r="F17" s="614">
        <f t="shared" si="1"/>
        <v>2009</v>
      </c>
      <c r="G17" s="626">
        <f>IF($A$1="Norge",VLOOKUP(F17,Indeksjustering!$C$24:$D$35,2),100)</f>
        <v>117.0312</v>
      </c>
      <c r="H17" s="615"/>
      <c r="I17" s="628" t="s">
        <v>474</v>
      </c>
      <c r="J17" s="629"/>
      <c r="K17" s="719">
        <v>613687</v>
      </c>
      <c r="N17" s="721">
        <v>2009</v>
      </c>
      <c r="O17" s="627"/>
      <c r="P17" s="615"/>
    </row>
    <row r="18" spans="1:16" x14ac:dyDescent="0.25">
      <c r="A18" s="628" t="s">
        <v>475</v>
      </c>
      <c r="B18" s="629"/>
      <c r="C18" s="631">
        <f t="shared" si="0"/>
        <v>2467596.9360505152</v>
      </c>
      <c r="F18" s="614">
        <f t="shared" si="1"/>
        <v>2009</v>
      </c>
      <c r="G18" s="626">
        <f>IF($A$1="Norge",VLOOKUP(F18,Indeksjustering!$C$24:$D$35,2),100)</f>
        <v>117.0312</v>
      </c>
      <c r="H18" s="632"/>
      <c r="I18" s="628" t="s">
        <v>475</v>
      </c>
      <c r="J18" s="629"/>
      <c r="K18" s="720">
        <v>2108494.944980924</v>
      </c>
      <c r="N18" s="721">
        <v>2009</v>
      </c>
      <c r="O18" s="627"/>
      <c r="P18" s="632"/>
    </row>
    <row r="19" spans="1:16" x14ac:dyDescent="0.25">
      <c r="A19" s="609"/>
      <c r="B19" s="609"/>
      <c r="C19" s="609"/>
      <c r="D19" s="609"/>
      <c r="E19" s="609"/>
      <c r="F19" s="614"/>
      <c r="G19" s="614"/>
      <c r="H19" s="615"/>
      <c r="I19" s="609"/>
      <c r="J19" s="609"/>
      <c r="K19" s="609"/>
      <c r="L19" s="609"/>
      <c r="M19" s="609"/>
      <c r="N19" s="614"/>
      <c r="O19" s="609"/>
      <c r="P19" s="615"/>
    </row>
    <row r="20" spans="1:16" s="621" customFormat="1" x14ac:dyDescent="0.25">
      <c r="A20" s="617" t="s">
        <v>821</v>
      </c>
      <c r="B20" s="618"/>
      <c r="C20" s="619"/>
      <c r="D20" s="618"/>
      <c r="E20" s="618"/>
      <c r="F20" s="620"/>
      <c r="G20" s="620"/>
      <c r="H20" s="615"/>
      <c r="I20" s="617" t="s">
        <v>821</v>
      </c>
      <c r="J20" s="618"/>
      <c r="K20" s="618"/>
      <c r="L20" s="618"/>
      <c r="M20" s="618"/>
      <c r="N20" s="620"/>
      <c r="O20" s="618"/>
      <c r="P20" s="615"/>
    </row>
    <row r="21" spans="1:16" s="613" customFormat="1" x14ac:dyDescent="0.25">
      <c r="A21" s="622" t="s">
        <v>476</v>
      </c>
      <c r="B21" s="611"/>
      <c r="C21" s="611"/>
      <c r="D21" s="611"/>
      <c r="E21" s="611"/>
      <c r="F21" s="612"/>
      <c r="G21" s="612"/>
      <c r="H21" s="615"/>
      <c r="I21" s="622" t="s">
        <v>476</v>
      </c>
      <c r="J21" s="611"/>
      <c r="K21" s="611"/>
      <c r="L21" s="611"/>
      <c r="M21" s="611"/>
      <c r="N21" s="612"/>
      <c r="O21" s="611"/>
      <c r="P21" s="615"/>
    </row>
    <row r="22" spans="1:16" s="613" customFormat="1" x14ac:dyDescent="0.25">
      <c r="A22" s="622" t="s">
        <v>288</v>
      </c>
      <c r="B22" s="611"/>
      <c r="C22" s="611"/>
      <c r="D22" s="611"/>
      <c r="E22" s="611"/>
      <c r="F22" s="612"/>
      <c r="G22" s="612"/>
      <c r="H22" s="615"/>
      <c r="I22" s="622" t="s">
        <v>288</v>
      </c>
      <c r="J22" s="611"/>
      <c r="K22" s="611"/>
      <c r="L22" s="611"/>
      <c r="M22" s="611"/>
      <c r="N22" s="612"/>
      <c r="O22" s="611"/>
      <c r="P22" s="615"/>
    </row>
    <row r="23" spans="1:16" x14ac:dyDescent="0.25">
      <c r="A23" s="633"/>
      <c r="B23" s="634"/>
      <c r="C23" s="635" t="s">
        <v>637</v>
      </c>
      <c r="I23" s="633"/>
      <c r="J23" s="634"/>
      <c r="K23" s="635" t="s">
        <v>637</v>
      </c>
    </row>
    <row r="24" spans="1:16" x14ac:dyDescent="0.25">
      <c r="A24" s="636"/>
      <c r="B24" s="637" t="s">
        <v>855</v>
      </c>
      <c r="C24" s="638" t="s">
        <v>1022</v>
      </c>
      <c r="I24" s="636"/>
      <c r="J24" s="637" t="s">
        <v>855</v>
      </c>
      <c r="K24" s="638"/>
      <c r="N24" s="718" t="s">
        <v>1024</v>
      </c>
    </row>
    <row r="25" spans="1:16" x14ac:dyDescent="0.25">
      <c r="A25" s="603" t="s">
        <v>15</v>
      </c>
      <c r="B25" s="639" t="s">
        <v>32</v>
      </c>
      <c r="C25" s="640">
        <f t="shared" ref="C25:C34" si="2">K25*G25/100</f>
        <v>0.18135743999999998</v>
      </c>
      <c r="F25" s="614">
        <f t="shared" ref="F25:F34" si="3">N25</f>
        <v>2010</v>
      </c>
      <c r="G25" s="626">
        <f>IF($A$1="Norge",VLOOKUP(F25,Indeksjustering!$C$24:$D$35,2),100)</f>
        <v>113.34839999999998</v>
      </c>
      <c r="I25" s="603" t="s">
        <v>15</v>
      </c>
      <c r="J25" s="639" t="s">
        <v>32</v>
      </c>
      <c r="K25" s="716">
        <v>0.16</v>
      </c>
      <c r="N25" s="721">
        <v>2010</v>
      </c>
      <c r="O25" s="627"/>
    </row>
    <row r="26" spans="1:16" x14ac:dyDescent="0.25">
      <c r="B26" s="639" t="s">
        <v>31</v>
      </c>
      <c r="C26" s="640">
        <f t="shared" si="2"/>
        <v>0.13601807999999999</v>
      </c>
      <c r="F26" s="614">
        <f t="shared" si="3"/>
        <v>2010</v>
      </c>
      <c r="G26" s="626">
        <f>IF($A$1="Norge",VLOOKUP(F26,Indeksjustering!$C$24:$D$35,2),100)</f>
        <v>113.34839999999998</v>
      </c>
      <c r="J26" s="639" t="s">
        <v>31</v>
      </c>
      <c r="K26" s="716">
        <v>0.12</v>
      </c>
      <c r="N26" s="721">
        <v>2010</v>
      </c>
      <c r="O26" s="627"/>
    </row>
    <row r="27" spans="1:16" x14ac:dyDescent="0.25">
      <c r="A27" s="603" t="s">
        <v>283</v>
      </c>
      <c r="B27" s="639" t="s">
        <v>36</v>
      </c>
      <c r="C27" s="640">
        <f t="shared" si="2"/>
        <v>0.66875555999999992</v>
      </c>
      <c r="F27" s="614">
        <f t="shared" si="3"/>
        <v>2010</v>
      </c>
      <c r="G27" s="626">
        <f>IF($A$1="Norge",VLOOKUP(F27,Indeksjustering!$C$24:$D$35,2),100)</f>
        <v>113.34839999999998</v>
      </c>
      <c r="I27" s="603" t="s">
        <v>283</v>
      </c>
      <c r="J27" s="639" t="s">
        <v>36</v>
      </c>
      <c r="K27" s="716">
        <v>0.59</v>
      </c>
      <c r="N27" s="721">
        <v>2010</v>
      </c>
      <c r="O27" s="627"/>
    </row>
    <row r="28" spans="1:16" x14ac:dyDescent="0.25">
      <c r="A28" s="603" t="s">
        <v>281</v>
      </c>
      <c r="B28" s="639" t="s">
        <v>35</v>
      </c>
      <c r="C28" s="640">
        <f t="shared" si="2"/>
        <v>0.58941167999999988</v>
      </c>
      <c r="F28" s="614">
        <f t="shared" si="3"/>
        <v>2010</v>
      </c>
      <c r="G28" s="626">
        <f>IF($A$1="Norge",VLOOKUP(F28,Indeksjustering!$C$24:$D$35,2),100)</f>
        <v>113.34839999999998</v>
      </c>
      <c r="I28" s="603" t="s">
        <v>281</v>
      </c>
      <c r="J28" s="639" t="s">
        <v>35</v>
      </c>
      <c r="K28" s="716">
        <v>0.52</v>
      </c>
      <c r="N28" s="721">
        <v>2010</v>
      </c>
      <c r="O28" s="627"/>
    </row>
    <row r="29" spans="1:16" x14ac:dyDescent="0.25">
      <c r="A29" s="603" t="s">
        <v>282</v>
      </c>
      <c r="B29" s="639" t="s">
        <v>34</v>
      </c>
      <c r="C29" s="640">
        <f t="shared" si="2"/>
        <v>0.54407231999999994</v>
      </c>
      <c r="F29" s="614">
        <f t="shared" si="3"/>
        <v>2010</v>
      </c>
      <c r="G29" s="626">
        <f>IF($A$1="Norge",VLOOKUP(F29,Indeksjustering!$C$24:$D$35,2),100)</f>
        <v>113.34839999999998</v>
      </c>
      <c r="I29" s="603" t="s">
        <v>282</v>
      </c>
      <c r="J29" s="639" t="s">
        <v>34</v>
      </c>
      <c r="K29" s="716">
        <v>0.48</v>
      </c>
      <c r="N29" s="721">
        <v>2010</v>
      </c>
      <c r="O29" s="627"/>
    </row>
    <row r="30" spans="1:16" x14ac:dyDescent="0.25">
      <c r="B30" s="639" t="s">
        <v>40</v>
      </c>
      <c r="C30" s="640">
        <f t="shared" si="2"/>
        <v>0.89545235999999984</v>
      </c>
      <c r="F30" s="614">
        <f t="shared" si="3"/>
        <v>2010</v>
      </c>
      <c r="G30" s="626">
        <f>IF($A$1="Norge",VLOOKUP(F30,Indeksjustering!$C$24:$D$35,2),100)</f>
        <v>113.34839999999998</v>
      </c>
      <c r="J30" s="639" t="s">
        <v>40</v>
      </c>
      <c r="K30" s="716">
        <v>0.79</v>
      </c>
      <c r="N30" s="721">
        <v>2010</v>
      </c>
      <c r="O30" s="627"/>
    </row>
    <row r="31" spans="1:16" x14ac:dyDescent="0.25">
      <c r="B31" s="639" t="s">
        <v>37</v>
      </c>
      <c r="C31" s="640">
        <f t="shared" si="2"/>
        <v>0.5554071599999999</v>
      </c>
      <c r="F31" s="614">
        <f t="shared" si="3"/>
        <v>2010</v>
      </c>
      <c r="G31" s="626">
        <f>IF($A$1="Norge",VLOOKUP(F31,Indeksjustering!$C$24:$D$35,2),100)</f>
        <v>113.34839999999998</v>
      </c>
      <c r="J31" s="639" t="s">
        <v>37</v>
      </c>
      <c r="K31" s="716">
        <v>0.49</v>
      </c>
      <c r="N31" s="721">
        <v>2010</v>
      </c>
      <c r="O31" s="627"/>
    </row>
    <row r="32" spans="1:16" x14ac:dyDescent="0.25">
      <c r="B32" s="639" t="s">
        <v>39</v>
      </c>
      <c r="C32" s="640">
        <f t="shared" si="2"/>
        <v>0.86144783999999985</v>
      </c>
      <c r="F32" s="614">
        <f t="shared" si="3"/>
        <v>2010</v>
      </c>
      <c r="G32" s="626">
        <f>IF($A$1="Norge",VLOOKUP(F32,Indeksjustering!$C$24:$D$35,2),100)</f>
        <v>113.34839999999998</v>
      </c>
      <c r="J32" s="639" t="s">
        <v>39</v>
      </c>
      <c r="K32" s="716">
        <v>0.76</v>
      </c>
      <c r="N32" s="721">
        <v>2010</v>
      </c>
      <c r="O32" s="627"/>
    </row>
    <row r="33" spans="1:16" x14ac:dyDescent="0.25">
      <c r="B33" s="639" t="s">
        <v>38</v>
      </c>
      <c r="C33" s="640">
        <f t="shared" si="2"/>
        <v>0.60074651999999995</v>
      </c>
      <c r="F33" s="614">
        <f t="shared" si="3"/>
        <v>2010</v>
      </c>
      <c r="G33" s="626">
        <f>IF($A$1="Norge",VLOOKUP(F33,Indeksjustering!$C$24:$D$35,2),100)</f>
        <v>113.34839999999998</v>
      </c>
      <c r="J33" s="639" t="s">
        <v>38</v>
      </c>
      <c r="K33" s="716">
        <v>0.53</v>
      </c>
      <c r="N33" s="721">
        <v>2010</v>
      </c>
      <c r="O33" s="627"/>
    </row>
    <row r="34" spans="1:16" x14ac:dyDescent="0.25">
      <c r="A34" s="636"/>
      <c r="B34" s="641" t="s">
        <v>33</v>
      </c>
      <c r="C34" s="642">
        <f t="shared" si="2"/>
        <v>0.51006779999999996</v>
      </c>
      <c r="F34" s="614">
        <f t="shared" si="3"/>
        <v>2010</v>
      </c>
      <c r="G34" s="626">
        <f>IF($A$1="Norge",VLOOKUP(F34,Indeksjustering!$C$24:$D$35,2),100)</f>
        <v>113.34839999999998</v>
      </c>
      <c r="I34" s="636"/>
      <c r="J34" s="641" t="s">
        <v>33</v>
      </c>
      <c r="K34" s="722">
        <v>0.45</v>
      </c>
      <c r="N34" s="721">
        <v>2010</v>
      </c>
      <c r="O34" s="627"/>
    </row>
    <row r="35" spans="1:16" x14ac:dyDescent="0.25">
      <c r="A35" s="11"/>
      <c r="B35" s="644" t="s">
        <v>856</v>
      </c>
      <c r="C35" s="645"/>
      <c r="G35" s="626"/>
      <c r="I35" s="11"/>
      <c r="J35" s="644" t="s">
        <v>856</v>
      </c>
      <c r="K35" s="646"/>
      <c r="O35" s="627"/>
    </row>
    <row r="37" spans="1:16" s="621" customFormat="1" x14ac:dyDescent="0.25">
      <c r="A37" s="617" t="s">
        <v>820</v>
      </c>
      <c r="B37" s="618"/>
      <c r="C37" s="619"/>
      <c r="D37" s="618"/>
      <c r="E37" s="618"/>
      <c r="F37" s="620"/>
      <c r="G37" s="620"/>
      <c r="H37" s="262"/>
      <c r="I37" s="617" t="s">
        <v>820</v>
      </c>
      <c r="J37" s="618"/>
      <c r="K37" s="618"/>
      <c r="L37" s="618"/>
      <c r="M37" s="618"/>
      <c r="N37" s="620"/>
      <c r="O37" s="618"/>
      <c r="P37" s="262"/>
    </row>
    <row r="38" spans="1:16" s="613" customFormat="1" x14ac:dyDescent="0.25">
      <c r="A38" s="622" t="s">
        <v>285</v>
      </c>
      <c r="B38" s="611"/>
      <c r="C38" s="611"/>
      <c r="D38" s="611"/>
      <c r="E38" s="611"/>
      <c r="F38" s="612"/>
      <c r="G38" s="612"/>
      <c r="H38" s="262"/>
      <c r="I38" s="622" t="s">
        <v>285</v>
      </c>
      <c r="J38" s="611"/>
      <c r="K38" s="611"/>
      <c r="L38" s="611"/>
      <c r="M38" s="611"/>
      <c r="N38" s="612"/>
      <c r="O38" s="611"/>
      <c r="P38" s="262"/>
    </row>
    <row r="39" spans="1:16" s="613" customFormat="1" x14ac:dyDescent="0.25">
      <c r="A39" s="622" t="s">
        <v>309</v>
      </c>
      <c r="B39" s="611"/>
      <c r="C39" s="611"/>
      <c r="D39" s="611"/>
      <c r="E39" s="611"/>
      <c r="F39" s="612"/>
      <c r="G39" s="612"/>
      <c r="H39" s="262"/>
      <c r="I39" s="622" t="s">
        <v>309</v>
      </c>
      <c r="J39" s="611"/>
      <c r="K39" s="611"/>
      <c r="L39" s="611"/>
      <c r="M39" s="611"/>
      <c r="N39" s="612"/>
      <c r="O39" s="611"/>
      <c r="P39" s="262"/>
    </row>
    <row r="40" spans="1:16" s="613" customFormat="1" x14ac:dyDescent="0.25">
      <c r="A40" s="622" t="s">
        <v>284</v>
      </c>
      <c r="B40" s="611"/>
      <c r="C40" s="611"/>
      <c r="D40" s="611"/>
      <c r="E40" s="611"/>
      <c r="F40" s="612"/>
      <c r="G40" s="612"/>
      <c r="H40" s="262"/>
      <c r="I40" s="622" t="s">
        <v>284</v>
      </c>
      <c r="J40" s="611"/>
      <c r="K40" s="611"/>
      <c r="L40" s="611"/>
      <c r="M40" s="611"/>
      <c r="N40" s="612"/>
      <c r="O40" s="611"/>
      <c r="P40" s="262"/>
    </row>
    <row r="41" spans="1:16" x14ac:dyDescent="0.25">
      <c r="A41" s="647"/>
      <c r="B41" s="263"/>
      <c r="C41" s="264"/>
      <c r="D41" s="264"/>
      <c r="I41" s="647"/>
      <c r="J41" s="263"/>
      <c r="K41" s="264"/>
      <c r="L41" s="264"/>
    </row>
    <row r="42" spans="1:16" ht="30" customHeight="1" x14ac:dyDescent="0.25">
      <c r="A42" s="648"/>
      <c r="B42" s="648"/>
      <c r="C42" s="265" t="s">
        <v>477</v>
      </c>
      <c r="D42" s="649" t="s">
        <v>478</v>
      </c>
      <c r="E42" s="649" t="s">
        <v>479</v>
      </c>
      <c r="I42" s="648"/>
      <c r="J42" s="648"/>
      <c r="K42" s="265" t="s">
        <v>477</v>
      </c>
      <c r="L42" s="649" t="s">
        <v>478</v>
      </c>
      <c r="M42" s="649" t="s">
        <v>479</v>
      </c>
    </row>
    <row r="43" spans="1:16" x14ac:dyDescent="0.25">
      <c r="A43" s="603" t="s">
        <v>280</v>
      </c>
      <c r="B43" s="647" t="s">
        <v>54</v>
      </c>
      <c r="C43" s="383">
        <v>4.5999999999999996</v>
      </c>
      <c r="D43" s="383">
        <v>3.5</v>
      </c>
      <c r="E43" s="383">
        <v>1.4</v>
      </c>
      <c r="I43" s="603" t="s">
        <v>280</v>
      </c>
      <c r="J43" s="647" t="s">
        <v>54</v>
      </c>
      <c r="K43" s="723">
        <v>4.5999999999999996</v>
      </c>
      <c r="L43" s="723">
        <v>3.5</v>
      </c>
      <c r="M43" s="723">
        <v>1.4</v>
      </c>
    </row>
    <row r="44" spans="1:16" x14ac:dyDescent="0.25">
      <c r="B44" s="647" t="s">
        <v>278</v>
      </c>
      <c r="C44" s="383">
        <v>4</v>
      </c>
      <c r="D44" s="383">
        <v>0.5</v>
      </c>
      <c r="E44" s="383">
        <v>0.5</v>
      </c>
      <c r="J44" s="647" t="s">
        <v>278</v>
      </c>
      <c r="K44" s="723">
        <v>4</v>
      </c>
      <c r="L44" s="723">
        <v>0.5</v>
      </c>
      <c r="M44" s="723">
        <v>0.5</v>
      </c>
    </row>
    <row r="45" spans="1:16" x14ac:dyDescent="0.25">
      <c r="A45" s="636"/>
      <c r="B45" s="637" t="s">
        <v>279</v>
      </c>
      <c r="C45" s="384">
        <v>5.2</v>
      </c>
      <c r="D45" s="384">
        <v>5.5</v>
      </c>
      <c r="E45" s="384">
        <v>2.2999999999999998</v>
      </c>
      <c r="I45" s="636"/>
      <c r="J45" s="637" t="s">
        <v>279</v>
      </c>
      <c r="K45" s="724">
        <v>5.2</v>
      </c>
      <c r="L45" s="724">
        <v>5.5</v>
      </c>
      <c r="M45" s="724">
        <v>2.2999999999999998</v>
      </c>
    </row>
    <row r="46" spans="1:16" x14ac:dyDescent="0.25">
      <c r="A46" s="603" t="s">
        <v>267</v>
      </c>
      <c r="B46" s="647" t="s">
        <v>54</v>
      </c>
      <c r="C46" s="383">
        <v>3</v>
      </c>
      <c r="D46" s="383">
        <v>2</v>
      </c>
      <c r="E46" s="383">
        <v>1.1000000000000001</v>
      </c>
      <c r="I46" s="603" t="s">
        <v>267</v>
      </c>
      <c r="J46" s="647" t="s">
        <v>54</v>
      </c>
      <c r="K46" s="723">
        <v>3</v>
      </c>
      <c r="L46" s="723">
        <v>2</v>
      </c>
      <c r="M46" s="723">
        <v>1.1000000000000001</v>
      </c>
    </row>
    <row r="47" spans="1:16" x14ac:dyDescent="0.25">
      <c r="A47" s="647"/>
      <c r="B47" s="647" t="s">
        <v>278</v>
      </c>
      <c r="C47" s="383">
        <v>-0.5</v>
      </c>
      <c r="D47" s="383">
        <v>0.8</v>
      </c>
      <c r="E47" s="383">
        <v>0.9</v>
      </c>
      <c r="I47" s="647"/>
      <c r="J47" s="647" t="s">
        <v>278</v>
      </c>
      <c r="K47" s="723">
        <v>-0.5</v>
      </c>
      <c r="L47" s="723">
        <v>0.8</v>
      </c>
      <c r="M47" s="723">
        <v>0.9</v>
      </c>
    </row>
    <row r="48" spans="1:16" x14ac:dyDescent="0.25">
      <c r="A48" s="637"/>
      <c r="B48" s="637" t="s">
        <v>279</v>
      </c>
      <c r="C48" s="384">
        <v>6.5</v>
      </c>
      <c r="D48" s="384">
        <v>3.2</v>
      </c>
      <c r="E48" s="384">
        <v>1.3</v>
      </c>
      <c r="I48" s="637"/>
      <c r="J48" s="637" t="s">
        <v>279</v>
      </c>
      <c r="K48" s="724">
        <v>6.5</v>
      </c>
      <c r="L48" s="724">
        <v>3.2</v>
      </c>
      <c r="M48" s="724">
        <v>1.3</v>
      </c>
    </row>
    <row r="49" spans="1:16" x14ac:dyDescent="0.25">
      <c r="A49" s="634" t="s">
        <v>280</v>
      </c>
      <c r="B49" s="650" t="s">
        <v>484</v>
      </c>
      <c r="C49" s="651">
        <v>2.5699054516193923E-2</v>
      </c>
      <c r="D49" s="651">
        <v>8.6979480989740496E-2</v>
      </c>
      <c r="E49" s="651">
        <v>0.88732146449406557</v>
      </c>
      <c r="I49" s="634" t="s">
        <v>280</v>
      </c>
      <c r="J49" s="650" t="s">
        <v>484</v>
      </c>
      <c r="K49" s="725">
        <v>2.5699054516193923E-2</v>
      </c>
      <c r="L49" s="725">
        <v>8.6979480989740496E-2</v>
      </c>
      <c r="M49" s="725">
        <v>0.88732146449406557</v>
      </c>
    </row>
    <row r="50" spans="1:16" x14ac:dyDescent="0.25">
      <c r="A50" s="637" t="s">
        <v>267</v>
      </c>
      <c r="B50" s="628" t="s">
        <v>484</v>
      </c>
      <c r="C50" s="652">
        <v>6.3907486305538651E-3</v>
      </c>
      <c r="D50" s="652">
        <v>5.5842970176506392E-2</v>
      </c>
      <c r="E50" s="652">
        <v>0.9377662811929397</v>
      </c>
      <c r="I50" s="637" t="s">
        <v>267</v>
      </c>
      <c r="J50" s="628" t="s">
        <v>484</v>
      </c>
      <c r="K50" s="726">
        <v>6.3907486305538651E-3</v>
      </c>
      <c r="L50" s="726">
        <v>5.5842970176506392E-2</v>
      </c>
      <c r="M50" s="726">
        <v>0.9377662811929397</v>
      </c>
    </row>
    <row r="51" spans="1:16" x14ac:dyDescent="0.25">
      <c r="C51" s="651"/>
      <c r="D51" s="651"/>
      <c r="E51" s="651"/>
      <c r="K51" s="651"/>
      <c r="L51" s="651"/>
      <c r="M51" s="651"/>
    </row>
    <row r="52" spans="1:16" s="621" customFormat="1" x14ac:dyDescent="0.25">
      <c r="A52" s="617" t="s">
        <v>822</v>
      </c>
      <c r="B52" s="618"/>
      <c r="C52" s="619"/>
      <c r="D52" s="618"/>
      <c r="E52" s="618"/>
      <c r="F52" s="620"/>
      <c r="G52" s="620"/>
      <c r="H52" s="262" t="s">
        <v>751</v>
      </c>
      <c r="I52" s="617" t="s">
        <v>822</v>
      </c>
      <c r="J52" s="618"/>
      <c r="K52" s="653"/>
      <c r="L52" s="653"/>
      <c r="M52" s="653"/>
      <c r="N52" s="620"/>
      <c r="O52" s="618"/>
      <c r="P52" s="262"/>
    </row>
    <row r="53" spans="1:16" s="613" customFormat="1" x14ac:dyDescent="0.25">
      <c r="A53" s="622" t="s">
        <v>491</v>
      </c>
      <c r="B53" s="611"/>
      <c r="C53" s="611"/>
      <c r="D53" s="611"/>
      <c r="E53" s="611"/>
      <c r="F53" s="612"/>
      <c r="G53" s="612"/>
      <c r="H53" s="262"/>
      <c r="I53" s="622" t="s">
        <v>491</v>
      </c>
      <c r="J53" s="611"/>
      <c r="K53" s="611"/>
      <c r="L53" s="611"/>
      <c r="M53" s="611"/>
      <c r="N53" s="612"/>
      <c r="O53" s="611"/>
      <c r="P53" s="262"/>
    </row>
    <row r="54" spans="1:16" s="613" customFormat="1" x14ac:dyDescent="0.25">
      <c r="A54" s="622" t="s">
        <v>286</v>
      </c>
      <c r="B54" s="611"/>
      <c r="C54" s="611"/>
      <c r="D54" s="611"/>
      <c r="E54" s="611"/>
      <c r="F54" s="612"/>
      <c r="G54" s="612"/>
      <c r="H54" s="262"/>
      <c r="I54" s="622" t="s">
        <v>286</v>
      </c>
      <c r="J54" s="611"/>
      <c r="K54" s="611"/>
      <c r="L54" s="611"/>
      <c r="M54" s="611"/>
      <c r="N54" s="612"/>
      <c r="O54" s="611"/>
      <c r="P54" s="262"/>
    </row>
    <row r="55" spans="1:16" s="646" customFormat="1" x14ac:dyDescent="0.25">
      <c r="A55" s="654"/>
      <c r="B55" s="654"/>
      <c r="C55" s="655" t="s">
        <v>491</v>
      </c>
      <c r="D55" s="656"/>
      <c r="F55" s="657"/>
      <c r="G55" s="657"/>
      <c r="H55" s="658"/>
      <c r="I55" s="654"/>
      <c r="J55" s="654"/>
      <c r="K55" s="655" t="s">
        <v>491</v>
      </c>
      <c r="L55" s="656"/>
      <c r="N55" s="657"/>
      <c r="P55" s="658"/>
    </row>
    <row r="56" spans="1:16" s="646" customFormat="1" x14ac:dyDescent="0.25">
      <c r="A56" s="643"/>
      <c r="B56" s="643"/>
      <c r="C56" s="659" t="s">
        <v>75</v>
      </c>
      <c r="D56" s="660"/>
      <c r="E56" s="660"/>
      <c r="F56" s="657"/>
      <c r="G56" s="657"/>
      <c r="H56" s="262"/>
      <c r="I56" s="643"/>
      <c r="J56" s="643"/>
      <c r="K56" s="659" t="s">
        <v>75</v>
      </c>
      <c r="L56" s="660"/>
      <c r="M56" s="660"/>
      <c r="N56" s="718" t="s">
        <v>1024</v>
      </c>
      <c r="P56" s="262"/>
    </row>
    <row r="57" spans="1:16" s="646" customFormat="1" x14ac:dyDescent="0.25">
      <c r="A57" s="607" t="s">
        <v>70</v>
      </c>
      <c r="B57" s="609" t="s">
        <v>69</v>
      </c>
      <c r="C57" s="661">
        <f t="shared" ref="C57:C63" si="4">K57*G57/100</f>
        <v>222.50042179926172</v>
      </c>
      <c r="D57" s="717" t="s">
        <v>1021</v>
      </c>
      <c r="E57" s="663"/>
      <c r="F57" s="614">
        <f t="shared" ref="F57:F63" si="5">N57</f>
        <v>2009</v>
      </c>
      <c r="G57" s="626">
        <f>IF($A$1="Norge",VLOOKUP(F57,Indeksjustering!$C$24:$D$35,2),100)</f>
        <v>117.0312</v>
      </c>
      <c r="H57" s="262"/>
      <c r="I57" s="607" t="s">
        <v>70</v>
      </c>
      <c r="J57" s="609" t="s">
        <v>69</v>
      </c>
      <c r="K57" s="727">
        <v>190.12060185596809</v>
      </c>
      <c r="L57" s="662"/>
      <c r="M57" s="663"/>
      <c r="N57" s="730">
        <v>2009</v>
      </c>
      <c r="O57" s="627"/>
      <c r="P57" s="262"/>
    </row>
    <row r="58" spans="1:16" s="646" customFormat="1" x14ac:dyDescent="0.25">
      <c r="A58" s="607" t="s">
        <v>72</v>
      </c>
      <c r="B58" s="609" t="s">
        <v>71</v>
      </c>
      <c r="C58" s="661">
        <f t="shared" si="4"/>
        <v>738.4619670175648</v>
      </c>
      <c r="D58" s="717" t="s">
        <v>1021</v>
      </c>
      <c r="E58" s="663"/>
      <c r="F58" s="614">
        <f t="shared" si="5"/>
        <v>2009</v>
      </c>
      <c r="G58" s="626">
        <f>IF($A$1="Norge",VLOOKUP(F58,Indeksjustering!$C$24:$D$35,2),100)</f>
        <v>117.0312</v>
      </c>
      <c r="H58" s="262"/>
      <c r="I58" s="607" t="s">
        <v>72</v>
      </c>
      <c r="J58" s="609" t="s">
        <v>71</v>
      </c>
      <c r="K58" s="727">
        <v>630.99580882496696</v>
      </c>
      <c r="L58" s="662"/>
      <c r="M58" s="663"/>
      <c r="N58" s="730">
        <v>2009</v>
      </c>
      <c r="O58" s="627"/>
      <c r="P58" s="262"/>
    </row>
    <row r="59" spans="1:16" s="646" customFormat="1" x14ac:dyDescent="0.25">
      <c r="A59" s="607" t="s">
        <v>73</v>
      </c>
      <c r="B59" s="609" t="s">
        <v>74</v>
      </c>
      <c r="C59" s="661">
        <f t="shared" si="4"/>
        <v>666.48859199999993</v>
      </c>
      <c r="D59" s="717" t="s">
        <v>1021</v>
      </c>
      <c r="E59" s="663"/>
      <c r="F59" s="614">
        <f t="shared" si="5"/>
        <v>2010</v>
      </c>
      <c r="G59" s="626">
        <f>IF($A$1="Norge",VLOOKUP(F59,Indeksjustering!$C$24:$D$35,2),100)</f>
        <v>113.34839999999998</v>
      </c>
      <c r="H59" s="262"/>
      <c r="I59" s="607" t="s">
        <v>73</v>
      </c>
      <c r="J59" s="609" t="s">
        <v>74</v>
      </c>
      <c r="K59" s="584">
        <v>588</v>
      </c>
      <c r="L59" s="662"/>
      <c r="M59" s="663"/>
      <c r="N59" s="721">
        <v>2010</v>
      </c>
      <c r="O59" s="627"/>
      <c r="P59" s="262"/>
    </row>
    <row r="60" spans="1:16" s="646" customFormat="1" x14ac:dyDescent="0.25">
      <c r="A60" s="607" t="s">
        <v>66</v>
      </c>
      <c r="B60" s="609" t="s">
        <v>75</v>
      </c>
      <c r="C60" s="661">
        <f t="shared" si="4"/>
        <v>170.86555199999998</v>
      </c>
      <c r="D60" s="717" t="s">
        <v>1021</v>
      </c>
      <c r="E60" s="663"/>
      <c r="F60" s="614">
        <f t="shared" si="5"/>
        <v>2009</v>
      </c>
      <c r="G60" s="626">
        <f>IF($A$1="Norge",VLOOKUP(F60,Indeksjustering!$C$24:$D$35,2),100)</f>
        <v>117.0312</v>
      </c>
      <c r="H60" s="262"/>
      <c r="I60" s="607" t="s">
        <v>66</v>
      </c>
      <c r="J60" s="609" t="s">
        <v>75</v>
      </c>
      <c r="K60" s="584">
        <v>146</v>
      </c>
      <c r="L60" s="662"/>
      <c r="M60" s="663"/>
      <c r="N60" s="730">
        <v>2009</v>
      </c>
      <c r="O60" s="627"/>
      <c r="P60" s="262"/>
    </row>
    <row r="61" spans="1:16" s="646" customFormat="1" x14ac:dyDescent="0.25">
      <c r="A61" s="656" t="s">
        <v>67</v>
      </c>
      <c r="B61" s="646" t="s">
        <v>75</v>
      </c>
      <c r="C61" s="383">
        <f t="shared" si="4"/>
        <v>341.73110399999996</v>
      </c>
      <c r="D61" s="717" t="s">
        <v>1021</v>
      </c>
      <c r="E61" s="663"/>
      <c r="F61" s="614">
        <f t="shared" si="5"/>
        <v>2009</v>
      </c>
      <c r="G61" s="626">
        <f>IF($A$1="Norge",VLOOKUP(F61,Indeksjustering!$C$24:$D$35,2),100)</f>
        <v>117.0312</v>
      </c>
      <c r="H61" s="665"/>
      <c r="I61" s="656" t="s">
        <v>67</v>
      </c>
      <c r="J61" s="646" t="s">
        <v>75</v>
      </c>
      <c r="K61" s="728">
        <v>292</v>
      </c>
      <c r="L61" s="662"/>
      <c r="M61" s="663"/>
      <c r="N61" s="730">
        <v>2009</v>
      </c>
      <c r="O61" s="627"/>
      <c r="P61" s="665"/>
    </row>
    <row r="62" spans="1:16" s="646" customFormat="1" x14ac:dyDescent="0.25">
      <c r="A62" s="656" t="s">
        <v>621</v>
      </c>
      <c r="B62" s="646" t="s">
        <v>75</v>
      </c>
      <c r="C62" s="383">
        <f t="shared" si="4"/>
        <v>152.14055999999999</v>
      </c>
      <c r="D62" s="717" t="s">
        <v>1021</v>
      </c>
      <c r="E62" s="663"/>
      <c r="F62" s="614">
        <f t="shared" si="5"/>
        <v>2009</v>
      </c>
      <c r="G62" s="626">
        <f>IF($A$1="Norge",VLOOKUP(F62,Indeksjustering!$C$24:$D$35,2),100)</f>
        <v>117.0312</v>
      </c>
      <c r="H62" s="665"/>
      <c r="I62" s="656" t="s">
        <v>621</v>
      </c>
      <c r="J62" s="646" t="s">
        <v>75</v>
      </c>
      <c r="K62" s="728">
        <v>130</v>
      </c>
      <c r="L62" s="662"/>
      <c r="M62" s="663"/>
      <c r="N62" s="730">
        <v>2009</v>
      </c>
      <c r="O62" s="627"/>
      <c r="P62" s="665"/>
    </row>
    <row r="63" spans="1:16" s="646" customFormat="1" x14ac:dyDescent="0.25">
      <c r="A63" s="628" t="s">
        <v>622</v>
      </c>
      <c r="B63" s="643" t="s">
        <v>75</v>
      </c>
      <c r="C63" s="384">
        <f t="shared" si="4"/>
        <v>152.14055999999999</v>
      </c>
      <c r="D63" s="717" t="s">
        <v>1021</v>
      </c>
      <c r="E63" s="663"/>
      <c r="F63" s="614">
        <f t="shared" si="5"/>
        <v>2009</v>
      </c>
      <c r="G63" s="626">
        <f>IF($A$1="Norge",VLOOKUP(F63,Indeksjustering!$C$24:$D$35,2),100)</f>
        <v>117.0312</v>
      </c>
      <c r="H63" s="666"/>
      <c r="I63" s="628" t="s">
        <v>622</v>
      </c>
      <c r="J63" s="643" t="s">
        <v>75</v>
      </c>
      <c r="K63" s="729">
        <v>130</v>
      </c>
      <c r="L63" s="662"/>
      <c r="M63" s="663"/>
      <c r="N63" s="730">
        <v>2009</v>
      </c>
      <c r="O63" s="627"/>
      <c r="P63" s="666"/>
    </row>
    <row r="64" spans="1:16" x14ac:dyDescent="0.25">
      <c r="D64" s="11"/>
      <c r="E64" s="11"/>
      <c r="F64" s="668"/>
      <c r="G64" s="668"/>
      <c r="L64" s="11"/>
      <c r="M64" s="11"/>
      <c r="N64" s="668"/>
      <c r="O64" s="11"/>
    </row>
    <row r="65" spans="1:16" s="621" customFormat="1" x14ac:dyDescent="0.25">
      <c r="A65" s="617" t="s">
        <v>820</v>
      </c>
      <c r="B65" s="618"/>
      <c r="C65" s="619"/>
      <c r="D65" s="618"/>
      <c r="E65" s="618"/>
      <c r="F65" s="620"/>
      <c r="G65" s="620"/>
      <c r="H65" s="262" t="s">
        <v>751</v>
      </c>
      <c r="I65" s="617" t="s">
        <v>820</v>
      </c>
      <c r="J65" s="618"/>
      <c r="K65" s="618"/>
      <c r="N65" s="620"/>
      <c r="P65" s="262"/>
    </row>
    <row r="66" spans="1:16" s="613" customFormat="1" ht="17.25" x14ac:dyDescent="0.25">
      <c r="A66" s="622" t="s">
        <v>635</v>
      </c>
      <c r="B66" s="611"/>
      <c r="C66" s="611"/>
      <c r="F66" s="669"/>
      <c r="G66" s="669"/>
      <c r="H66" s="262"/>
      <c r="I66" s="622" t="s">
        <v>635</v>
      </c>
      <c r="J66" s="611"/>
      <c r="K66" s="611"/>
      <c r="N66" s="669"/>
      <c r="P66" s="262"/>
    </row>
    <row r="67" spans="1:16" s="613" customFormat="1" x14ac:dyDescent="0.25">
      <c r="A67" s="622" t="s">
        <v>287</v>
      </c>
      <c r="B67" s="611"/>
      <c r="C67" s="611"/>
      <c r="F67" s="669"/>
      <c r="G67" s="669"/>
      <c r="H67" s="262"/>
      <c r="I67" s="622" t="s">
        <v>287</v>
      </c>
      <c r="J67" s="611"/>
      <c r="K67" s="611"/>
      <c r="N67" s="669"/>
      <c r="P67" s="262"/>
    </row>
    <row r="68" spans="1:16" ht="17.25" x14ac:dyDescent="0.25">
      <c r="A68" s="623" t="s">
        <v>317</v>
      </c>
      <c r="B68" s="670" t="s">
        <v>636</v>
      </c>
      <c r="C68" s="671"/>
      <c r="D68" s="671"/>
      <c r="E68" s="671"/>
      <c r="F68" s="668"/>
      <c r="G68" s="668"/>
      <c r="H68" s="672"/>
      <c r="I68" s="623" t="s">
        <v>317</v>
      </c>
      <c r="J68" s="670" t="s">
        <v>636</v>
      </c>
      <c r="K68" s="671"/>
      <c r="L68" s="671"/>
      <c r="M68" s="671"/>
      <c r="N68" s="668"/>
      <c r="O68" s="11"/>
      <c r="P68" s="672"/>
    </row>
    <row r="69" spans="1:16" x14ac:dyDescent="0.25">
      <c r="A69" s="673">
        <v>115</v>
      </c>
      <c r="B69" s="664">
        <v>227</v>
      </c>
      <c r="C69" s="662"/>
      <c r="D69" s="662"/>
      <c r="E69" s="662"/>
      <c r="F69" s="668"/>
      <c r="G69" s="668"/>
      <c r="I69" s="673">
        <v>115</v>
      </c>
      <c r="J69" s="731">
        <v>227</v>
      </c>
      <c r="K69" s="662"/>
      <c r="L69" s="662"/>
      <c r="M69" s="662"/>
      <c r="N69" s="668"/>
      <c r="O69" s="11"/>
    </row>
    <row r="70" spans="1:16" x14ac:dyDescent="0.25">
      <c r="A70" s="674">
        <v>120</v>
      </c>
      <c r="B70" s="664">
        <v>236</v>
      </c>
      <c r="C70" s="662"/>
      <c r="D70" s="662"/>
      <c r="E70" s="662"/>
      <c r="F70" s="668"/>
      <c r="G70" s="668"/>
      <c r="I70" s="674">
        <v>120</v>
      </c>
      <c r="J70" s="728">
        <v>236</v>
      </c>
      <c r="K70" s="662"/>
      <c r="L70" s="662"/>
      <c r="M70" s="662"/>
      <c r="N70" s="668"/>
      <c r="O70" s="11"/>
    </row>
    <row r="71" spans="1:16" x14ac:dyDescent="0.25">
      <c r="A71" s="675">
        <v>130</v>
      </c>
      <c r="B71" s="667">
        <v>273</v>
      </c>
      <c r="C71" s="662"/>
      <c r="D71" s="662"/>
      <c r="E71" s="662"/>
      <c r="F71" s="668"/>
      <c r="G71" s="668"/>
      <c r="H71" s="666"/>
      <c r="I71" s="675">
        <v>130</v>
      </c>
      <c r="J71" s="729">
        <v>273</v>
      </c>
      <c r="K71" s="662"/>
      <c r="L71" s="662"/>
      <c r="M71" s="662"/>
      <c r="N71" s="668"/>
      <c r="O71" s="11"/>
      <c r="P71" s="666"/>
    </row>
    <row r="72" spans="1:16" x14ac:dyDescent="0.25">
      <c r="D72" s="11"/>
      <c r="E72" s="11"/>
      <c r="F72" s="668"/>
      <c r="G72" s="668"/>
      <c r="L72" s="11"/>
      <c r="M72" s="11"/>
      <c r="N72" s="668"/>
      <c r="O72" s="11"/>
    </row>
    <row r="73" spans="1:16" s="621" customFormat="1" x14ac:dyDescent="0.25">
      <c r="A73" s="617" t="s">
        <v>991</v>
      </c>
      <c r="B73" s="618"/>
      <c r="C73" s="619"/>
      <c r="D73" s="618"/>
      <c r="E73" s="618"/>
      <c r="F73" s="620"/>
      <c r="G73" s="620"/>
      <c r="H73" s="262" t="s">
        <v>751</v>
      </c>
      <c r="I73" s="617" t="s">
        <v>991</v>
      </c>
      <c r="J73" s="618"/>
      <c r="K73" s="618"/>
      <c r="N73" s="620"/>
      <c r="P73" s="262"/>
    </row>
    <row r="74" spans="1:16" s="613" customFormat="1" x14ac:dyDescent="0.25">
      <c r="A74" s="622" t="s">
        <v>310</v>
      </c>
      <c r="B74" s="611"/>
      <c r="C74" s="611"/>
      <c r="D74" s="611"/>
      <c r="E74" s="611"/>
      <c r="F74" s="612"/>
      <c r="G74" s="612"/>
      <c r="H74" s="262"/>
      <c r="I74" s="622" t="s">
        <v>310</v>
      </c>
      <c r="J74" s="611"/>
      <c r="K74" s="611"/>
      <c r="L74" s="611"/>
      <c r="M74" s="611"/>
      <c r="N74" s="612"/>
      <c r="O74" s="611"/>
      <c r="P74" s="262"/>
    </row>
    <row r="75" spans="1:16" s="613" customFormat="1" x14ac:dyDescent="0.25">
      <c r="A75" s="622" t="s">
        <v>307</v>
      </c>
      <c r="B75" s="611"/>
      <c r="C75" s="611"/>
      <c r="D75" s="611"/>
      <c r="E75" s="611"/>
      <c r="F75" s="612"/>
      <c r="G75" s="612"/>
      <c r="H75" s="262"/>
      <c r="I75" s="622" t="s">
        <v>307</v>
      </c>
      <c r="J75" s="611"/>
      <c r="K75" s="611"/>
      <c r="L75" s="611"/>
      <c r="M75" s="611"/>
      <c r="N75" s="612"/>
      <c r="O75" s="611"/>
      <c r="P75" s="262"/>
    </row>
    <row r="76" spans="1:16" x14ac:dyDescent="0.25">
      <c r="A76" s="654"/>
      <c r="B76" s="654"/>
      <c r="C76" s="623"/>
      <c r="D76" s="676" t="s">
        <v>308</v>
      </c>
      <c r="E76" s="623"/>
      <c r="I76" s="654"/>
      <c r="J76" s="654"/>
      <c r="K76" s="623"/>
      <c r="L76" s="676" t="s">
        <v>308</v>
      </c>
      <c r="M76" s="623"/>
    </row>
    <row r="77" spans="1:16" x14ac:dyDescent="0.25">
      <c r="A77" s="609"/>
      <c r="B77" s="609"/>
      <c r="C77" s="677" t="s">
        <v>303</v>
      </c>
      <c r="D77" s="677" t="s">
        <v>304</v>
      </c>
      <c r="E77" s="677" t="s">
        <v>305</v>
      </c>
      <c r="I77" s="609"/>
      <c r="J77" s="609"/>
      <c r="K77" s="677" t="s">
        <v>303</v>
      </c>
      <c r="L77" s="677" t="s">
        <v>304</v>
      </c>
      <c r="M77" s="677" t="s">
        <v>305</v>
      </c>
    </row>
    <row r="78" spans="1:16" x14ac:dyDescent="0.25">
      <c r="A78" s="643"/>
      <c r="B78" s="643"/>
      <c r="C78" s="659"/>
      <c r="D78" s="659"/>
      <c r="E78" s="659" t="s">
        <v>306</v>
      </c>
      <c r="I78" s="643"/>
      <c r="J78" s="643"/>
      <c r="K78" s="659"/>
      <c r="L78" s="659"/>
      <c r="M78" s="659" t="s">
        <v>306</v>
      </c>
    </row>
    <row r="79" spans="1:16" x14ac:dyDescent="0.25">
      <c r="A79" s="607" t="s">
        <v>260</v>
      </c>
      <c r="B79" s="607" t="s">
        <v>213</v>
      </c>
      <c r="C79" s="678">
        <f>K79</f>
        <v>0.16671845316886902</v>
      </c>
      <c r="D79" s="678">
        <f t="shared" ref="D79:D94" si="6">L79</f>
        <v>9.117899090051651E-2</v>
      </c>
      <c r="E79" s="678">
        <f t="shared" ref="E79:E94" si="7">M79</f>
        <v>3.6449998617172241E-2</v>
      </c>
      <c r="I79" s="607" t="s">
        <v>260</v>
      </c>
      <c r="J79" s="607" t="s">
        <v>213</v>
      </c>
      <c r="K79" s="732">
        <v>0.16671845316886902</v>
      </c>
      <c r="L79" s="732">
        <v>9.117899090051651E-2</v>
      </c>
      <c r="M79" s="732">
        <v>3.6449998617172241E-2</v>
      </c>
    </row>
    <row r="80" spans="1:16" x14ac:dyDescent="0.25">
      <c r="A80" s="607"/>
      <c r="B80" s="607" t="s">
        <v>228</v>
      </c>
      <c r="C80" s="678">
        <f t="shared" ref="C80:C94" si="8">K80</f>
        <v>1.0107699632644653</v>
      </c>
      <c r="D80" s="678">
        <f t="shared" si="6"/>
        <v>0.52052998542785645</v>
      </c>
      <c r="E80" s="678">
        <f t="shared" si="7"/>
        <v>0.33783000707626343</v>
      </c>
      <c r="I80" s="607"/>
      <c r="J80" s="607" t="s">
        <v>228</v>
      </c>
      <c r="K80" s="732">
        <v>1.0107699632644653</v>
      </c>
      <c r="L80" s="732">
        <v>0.52052998542785645</v>
      </c>
      <c r="M80" s="732">
        <v>0.33783000707626343</v>
      </c>
    </row>
    <row r="81" spans="1:16" x14ac:dyDescent="0.25">
      <c r="A81" s="607"/>
      <c r="B81" s="607" t="s">
        <v>229</v>
      </c>
      <c r="C81" s="678">
        <f t="shared" si="8"/>
        <v>16.441600799560547</v>
      </c>
      <c r="D81" s="678">
        <f t="shared" si="6"/>
        <v>8.3447198867797852</v>
      </c>
      <c r="E81" s="678">
        <f t="shared" si="7"/>
        <v>5.5079631805419922</v>
      </c>
      <c r="I81" s="607"/>
      <c r="J81" s="607" t="s">
        <v>229</v>
      </c>
      <c r="K81" s="732">
        <v>16.441600799560547</v>
      </c>
      <c r="L81" s="732">
        <v>8.3447198867797852</v>
      </c>
      <c r="M81" s="732">
        <v>5.5079631805419922</v>
      </c>
    </row>
    <row r="82" spans="1:16" x14ac:dyDescent="0.25">
      <c r="A82" s="628"/>
      <c r="B82" s="628" t="s">
        <v>236</v>
      </c>
      <c r="C82" s="679">
        <f t="shared" si="8"/>
        <v>14.229231834411621</v>
      </c>
      <c r="D82" s="679">
        <f t="shared" si="6"/>
        <v>8.8359909057617188</v>
      </c>
      <c r="E82" s="679">
        <f t="shared" si="7"/>
        <v>6.5013022422790527</v>
      </c>
      <c r="F82" s="680"/>
      <c r="G82" s="680"/>
      <c r="H82" s="666"/>
      <c r="I82" s="628"/>
      <c r="J82" s="628" t="s">
        <v>236</v>
      </c>
      <c r="K82" s="733">
        <v>14.229231834411621</v>
      </c>
      <c r="L82" s="733">
        <v>8.8359909057617188</v>
      </c>
      <c r="M82" s="733">
        <v>6.5013022422790527</v>
      </c>
      <c r="N82" s="680"/>
      <c r="O82" s="636"/>
      <c r="P82" s="666"/>
    </row>
    <row r="83" spans="1:16" x14ac:dyDescent="0.25">
      <c r="A83" s="607" t="s">
        <v>261</v>
      </c>
      <c r="B83" s="607" t="s">
        <v>213</v>
      </c>
      <c r="C83" s="678">
        <f t="shared" si="8"/>
        <v>8.3802603185176849E-3</v>
      </c>
      <c r="D83" s="678">
        <f t="shared" si="6"/>
        <v>4.0557710453867912E-3</v>
      </c>
      <c r="E83" s="678">
        <f t="shared" si="7"/>
        <v>1.8225000239908695E-3</v>
      </c>
      <c r="I83" s="607" t="s">
        <v>261</v>
      </c>
      <c r="J83" s="607" t="s">
        <v>213</v>
      </c>
      <c r="K83" s="732">
        <v>8.3802603185176849E-3</v>
      </c>
      <c r="L83" s="732">
        <v>4.0557710453867912E-3</v>
      </c>
      <c r="M83" s="732">
        <v>1.8225000239908695E-3</v>
      </c>
    </row>
    <row r="84" spans="1:16" x14ac:dyDescent="0.25">
      <c r="A84" s="607"/>
      <c r="B84" s="607" t="s">
        <v>228</v>
      </c>
      <c r="C84" s="678">
        <f t="shared" si="8"/>
        <v>0.46348720788955688</v>
      </c>
      <c r="D84" s="678">
        <f t="shared" si="6"/>
        <v>0.23868833482265472</v>
      </c>
      <c r="E84" s="678">
        <f t="shared" si="7"/>
        <v>0.15491150319576263</v>
      </c>
      <c r="I84" s="607"/>
      <c r="J84" s="607" t="s">
        <v>228</v>
      </c>
      <c r="K84" s="732">
        <v>0.46348720788955688</v>
      </c>
      <c r="L84" s="732">
        <v>0.23868833482265472</v>
      </c>
      <c r="M84" s="732">
        <v>0.15491150319576263</v>
      </c>
    </row>
    <row r="85" spans="1:16" x14ac:dyDescent="0.25">
      <c r="A85" s="607"/>
      <c r="B85" s="607" t="s">
        <v>229</v>
      </c>
      <c r="C85" s="678">
        <f t="shared" si="8"/>
        <v>1.1678503751754761</v>
      </c>
      <c r="D85" s="678">
        <f t="shared" si="6"/>
        <v>0.59272724390029907</v>
      </c>
      <c r="E85" s="678">
        <f t="shared" si="7"/>
        <v>0.39123174548149109</v>
      </c>
      <c r="I85" s="607"/>
      <c r="J85" s="607" t="s">
        <v>229</v>
      </c>
      <c r="K85" s="732">
        <v>1.1678503751754761</v>
      </c>
      <c r="L85" s="732">
        <v>0.59272724390029907</v>
      </c>
      <c r="M85" s="732">
        <v>0.39123174548149109</v>
      </c>
    </row>
    <row r="86" spans="1:16" x14ac:dyDescent="0.25">
      <c r="A86" s="628"/>
      <c r="B86" s="628" t="s">
        <v>236</v>
      </c>
      <c r="C86" s="679">
        <f t="shared" si="8"/>
        <v>1.0107053518295288</v>
      </c>
      <c r="D86" s="679">
        <f t="shared" si="6"/>
        <v>0.62762236595153809</v>
      </c>
      <c r="E86" s="679">
        <f t="shared" si="7"/>
        <v>0.42194584012031555</v>
      </c>
      <c r="F86" s="680"/>
      <c r="G86" s="680"/>
      <c r="H86" s="666"/>
      <c r="I86" s="628"/>
      <c r="J86" s="628" t="s">
        <v>236</v>
      </c>
      <c r="K86" s="733">
        <v>1.0107053518295288</v>
      </c>
      <c r="L86" s="733">
        <v>0.62762236595153809</v>
      </c>
      <c r="M86" s="733">
        <v>0.42194584012031555</v>
      </c>
      <c r="N86" s="680"/>
      <c r="O86" s="636"/>
      <c r="P86" s="666"/>
    </row>
    <row r="87" spans="1:16" x14ac:dyDescent="0.25">
      <c r="A87" s="607" t="s">
        <v>262</v>
      </c>
      <c r="B87" s="607" t="s">
        <v>213</v>
      </c>
      <c r="C87" s="678">
        <f t="shared" si="8"/>
        <v>2.7799999807029963E-3</v>
      </c>
      <c r="D87" s="678">
        <f t="shared" si="6"/>
        <v>1.9399999873712659E-3</v>
      </c>
      <c r="E87" s="678">
        <f t="shared" si="7"/>
        <v>1.2200000928714871E-3</v>
      </c>
      <c r="I87" s="607" t="s">
        <v>262</v>
      </c>
      <c r="J87" s="607" t="s">
        <v>213</v>
      </c>
      <c r="K87" s="732">
        <v>2.7799999807029963E-3</v>
      </c>
      <c r="L87" s="732">
        <v>1.9399999873712659E-3</v>
      </c>
      <c r="M87" s="732">
        <v>1.2200000928714871E-3</v>
      </c>
    </row>
    <row r="88" spans="1:16" x14ac:dyDescent="0.25">
      <c r="A88" s="607"/>
      <c r="B88" s="607" t="s">
        <v>228</v>
      </c>
      <c r="C88" s="678">
        <f t="shared" si="8"/>
        <v>3.1384173780679703E-2</v>
      </c>
      <c r="D88" s="678">
        <f t="shared" si="6"/>
        <v>1.733320951461792E-2</v>
      </c>
      <c r="E88" s="678">
        <f t="shared" si="7"/>
        <v>1.2256374582648277E-2</v>
      </c>
      <c r="I88" s="607"/>
      <c r="J88" s="607" t="s">
        <v>228</v>
      </c>
      <c r="K88" s="732">
        <v>3.1384173780679703E-2</v>
      </c>
      <c r="L88" s="732">
        <v>1.733320951461792E-2</v>
      </c>
      <c r="M88" s="732">
        <v>1.2256374582648277E-2</v>
      </c>
    </row>
    <row r="89" spans="1:16" x14ac:dyDescent="0.25">
      <c r="A89" s="607"/>
      <c r="B89" s="607" t="s">
        <v>229</v>
      </c>
      <c r="C89" s="678">
        <f t="shared" si="8"/>
        <v>0.29985788464546204</v>
      </c>
      <c r="D89" s="678">
        <f t="shared" si="6"/>
        <v>0.19640746712684631</v>
      </c>
      <c r="E89" s="678">
        <f t="shared" si="7"/>
        <v>0.11022823303937912</v>
      </c>
      <c r="I89" s="607"/>
      <c r="J89" s="607" t="s">
        <v>229</v>
      </c>
      <c r="K89" s="732">
        <v>0.29985788464546204</v>
      </c>
      <c r="L89" s="732">
        <v>0.19640746712684631</v>
      </c>
      <c r="M89" s="732">
        <v>0.11022823303937912</v>
      </c>
    </row>
    <row r="90" spans="1:16" x14ac:dyDescent="0.25">
      <c r="A90" s="628"/>
      <c r="B90" s="628" t="s">
        <v>236</v>
      </c>
      <c r="C90" s="679">
        <f t="shared" si="8"/>
        <v>0.40613001585006714</v>
      </c>
      <c r="D90" s="679">
        <f t="shared" si="6"/>
        <v>0.22451341152191162</v>
      </c>
      <c r="E90" s="679">
        <f t="shared" si="7"/>
        <v>0.13388089835643768</v>
      </c>
      <c r="F90" s="680"/>
      <c r="G90" s="680"/>
      <c r="H90" s="666"/>
      <c r="I90" s="628"/>
      <c r="J90" s="628" t="s">
        <v>236</v>
      </c>
      <c r="K90" s="733">
        <v>0.40613001585006714</v>
      </c>
      <c r="L90" s="733">
        <v>0.22451341152191162</v>
      </c>
      <c r="M90" s="733">
        <v>0.13388089835643768</v>
      </c>
      <c r="N90" s="680"/>
      <c r="O90" s="636"/>
      <c r="P90" s="666"/>
    </row>
    <row r="91" spans="1:16" x14ac:dyDescent="0.25">
      <c r="A91" s="607" t="s">
        <v>263</v>
      </c>
      <c r="B91" s="607" t="s">
        <v>213</v>
      </c>
      <c r="C91" s="678">
        <f t="shared" si="8"/>
        <v>360.43310546875</v>
      </c>
      <c r="D91" s="678">
        <f t="shared" si="6"/>
        <v>209.11225891113281</v>
      </c>
      <c r="E91" s="678">
        <f t="shared" si="7"/>
        <v>148.89524841308594</v>
      </c>
      <c r="I91" s="607" t="s">
        <v>263</v>
      </c>
      <c r="J91" s="607" t="s">
        <v>213</v>
      </c>
      <c r="K91" s="732">
        <v>360.43310546875</v>
      </c>
      <c r="L91" s="732">
        <v>209.11225891113281</v>
      </c>
      <c r="M91" s="732">
        <v>148.89524841308594</v>
      </c>
    </row>
    <row r="92" spans="1:16" x14ac:dyDescent="0.25">
      <c r="A92" s="607"/>
      <c r="B92" s="607" t="s">
        <v>228</v>
      </c>
      <c r="C92" s="678">
        <f t="shared" si="8"/>
        <v>264.22787475585937</v>
      </c>
      <c r="D92" s="678">
        <f t="shared" si="6"/>
        <v>162.22120666503906</v>
      </c>
      <c r="E92" s="678">
        <f t="shared" si="7"/>
        <v>115.525390625</v>
      </c>
      <c r="I92" s="607"/>
      <c r="J92" s="607" t="s">
        <v>228</v>
      </c>
      <c r="K92" s="732">
        <v>264.22787475585937</v>
      </c>
      <c r="L92" s="732">
        <v>162.22120666503906</v>
      </c>
      <c r="M92" s="732">
        <v>115.525390625</v>
      </c>
    </row>
    <row r="93" spans="1:16" x14ac:dyDescent="0.25">
      <c r="A93" s="609"/>
      <c r="B93" s="607" t="s">
        <v>229</v>
      </c>
      <c r="C93" s="678">
        <f t="shared" si="8"/>
        <v>1420.8663330078125</v>
      </c>
      <c r="D93" s="678">
        <f t="shared" si="6"/>
        <v>880.60333251953125</v>
      </c>
      <c r="E93" s="678">
        <f t="shared" si="7"/>
        <v>640.7647705078125</v>
      </c>
      <c r="I93" s="609"/>
      <c r="J93" s="607" t="s">
        <v>229</v>
      </c>
      <c r="K93" s="732">
        <v>1420.8663330078125</v>
      </c>
      <c r="L93" s="732">
        <v>880.60333251953125</v>
      </c>
      <c r="M93" s="732">
        <v>640.7647705078125</v>
      </c>
    </row>
    <row r="94" spans="1:16" x14ac:dyDescent="0.25">
      <c r="A94" s="643"/>
      <c r="B94" s="628" t="s">
        <v>236</v>
      </c>
      <c r="C94" s="679">
        <f t="shared" si="8"/>
        <v>1556.4896240234375</v>
      </c>
      <c r="D94" s="679">
        <f t="shared" si="6"/>
        <v>963.25128173828125</v>
      </c>
      <c r="E94" s="679">
        <f t="shared" si="7"/>
        <v>618.5982666015625</v>
      </c>
      <c r="I94" s="643"/>
      <c r="J94" s="628" t="s">
        <v>236</v>
      </c>
      <c r="K94" s="733">
        <v>1556.4896240234375</v>
      </c>
      <c r="L94" s="733">
        <v>963.25128173828125</v>
      </c>
      <c r="M94" s="733">
        <v>618.5982666015625</v>
      </c>
    </row>
    <row r="95" spans="1:16" x14ac:dyDescent="0.25">
      <c r="A95" s="646"/>
      <c r="B95" s="656"/>
      <c r="C95" s="681"/>
      <c r="D95" s="681"/>
      <c r="E95" s="681"/>
      <c r="I95" s="646"/>
      <c r="J95" s="656"/>
      <c r="K95" s="681"/>
      <c r="L95" s="681"/>
      <c r="M95" s="681"/>
    </row>
    <row r="96" spans="1:16" s="621" customFormat="1" x14ac:dyDescent="0.25">
      <c r="A96" s="617" t="s">
        <v>992</v>
      </c>
      <c r="B96" s="618"/>
      <c r="C96" s="619"/>
      <c r="D96" s="618"/>
      <c r="E96" s="618"/>
      <c r="F96" s="620"/>
      <c r="G96" s="620"/>
      <c r="H96" s="262" t="s">
        <v>751</v>
      </c>
      <c r="I96" s="617" t="s">
        <v>991</v>
      </c>
      <c r="J96" s="682"/>
      <c r="K96" s="683"/>
      <c r="L96" s="683"/>
      <c r="M96" s="683"/>
      <c r="N96" s="620"/>
      <c r="O96" s="618"/>
      <c r="P96" s="262"/>
    </row>
    <row r="97" spans="1:16" s="613" customFormat="1" x14ac:dyDescent="0.25">
      <c r="A97" s="622" t="s">
        <v>492</v>
      </c>
      <c r="B97" s="611"/>
      <c r="C97" s="611"/>
      <c r="D97" s="611"/>
      <c r="E97" s="611"/>
      <c r="F97" s="612"/>
      <c r="G97" s="612"/>
      <c r="H97" s="262"/>
      <c r="I97" s="622" t="s">
        <v>492</v>
      </c>
      <c r="J97" s="611"/>
      <c r="K97" s="611"/>
      <c r="L97" s="611"/>
      <c r="M97" s="611"/>
      <c r="N97" s="612"/>
      <c r="O97" s="611"/>
      <c r="P97" s="262"/>
    </row>
    <row r="98" spans="1:16" s="613" customFormat="1" x14ac:dyDescent="0.25">
      <c r="A98" s="622" t="s">
        <v>640</v>
      </c>
      <c r="B98" s="611"/>
      <c r="C98" s="611"/>
      <c r="D98" s="611"/>
      <c r="E98" s="611"/>
      <c r="F98" s="612"/>
      <c r="G98" s="612"/>
      <c r="H98" s="262"/>
      <c r="I98" s="622" t="s">
        <v>640</v>
      </c>
      <c r="J98" s="611"/>
      <c r="K98" s="611"/>
      <c r="L98" s="611"/>
      <c r="M98" s="611"/>
      <c r="N98" s="612"/>
      <c r="O98" s="611"/>
      <c r="P98" s="262"/>
    </row>
    <row r="99" spans="1:16" ht="17.25" x14ac:dyDescent="0.25">
      <c r="A99" s="684" t="s">
        <v>493</v>
      </c>
      <c r="B99" s="670" t="s">
        <v>271</v>
      </c>
      <c r="C99" s="670" t="s">
        <v>273</v>
      </c>
      <c r="D99" s="685" t="s">
        <v>661</v>
      </c>
      <c r="E99" s="647" t="s">
        <v>1021</v>
      </c>
      <c r="F99" s="668"/>
      <c r="G99" s="668"/>
      <c r="H99" s="672"/>
      <c r="I99" s="684" t="s">
        <v>493</v>
      </c>
      <c r="J99" s="670" t="s">
        <v>271</v>
      </c>
      <c r="K99" s="670" t="s">
        <v>273</v>
      </c>
      <c r="L99" s="685" t="s">
        <v>274</v>
      </c>
      <c r="M99" s="11"/>
      <c r="N99" s="718" t="s">
        <v>1024</v>
      </c>
      <c r="O99" s="11"/>
      <c r="P99" s="672"/>
    </row>
    <row r="100" spans="1:16" x14ac:dyDescent="0.25">
      <c r="A100" s="686" t="str">
        <f>I100</f>
        <v>Annet område</v>
      </c>
      <c r="B100" s="661">
        <f t="shared" ref="B100:D101" si="9">J100*$G100/100</f>
        <v>58.515599999999992</v>
      </c>
      <c r="C100" s="661">
        <f t="shared" si="9"/>
        <v>514.93727999999999</v>
      </c>
      <c r="D100" s="661">
        <f t="shared" si="9"/>
        <v>245.76552000000001</v>
      </c>
      <c r="E100" s="11"/>
      <c r="F100" s="614">
        <f t="shared" ref="F100:F101" si="10">N100</f>
        <v>2009</v>
      </c>
      <c r="G100" s="626">
        <f>IF($A$1="Norge",VLOOKUP(F100,Indeksjustering!$C$24:$D$35,2),100)</f>
        <v>117.0312</v>
      </c>
      <c r="I100" s="686" t="s">
        <v>268</v>
      </c>
      <c r="J100" s="584">
        <v>50</v>
      </c>
      <c r="K100" s="584">
        <v>440</v>
      </c>
      <c r="L100" s="584">
        <v>210</v>
      </c>
      <c r="M100" s="11"/>
      <c r="N100" s="734">
        <v>2009</v>
      </c>
      <c r="O100" s="627"/>
    </row>
    <row r="101" spans="1:16" x14ac:dyDescent="0.25">
      <c r="A101" s="686" t="str">
        <f>I101</f>
        <v>By</v>
      </c>
      <c r="B101" s="661">
        <f t="shared" si="9"/>
        <v>117.03119999999998</v>
      </c>
      <c r="C101" s="661">
        <f t="shared" si="9"/>
        <v>1919.31168</v>
      </c>
      <c r="D101" s="661">
        <f t="shared" si="9"/>
        <v>245.76552000000001</v>
      </c>
      <c r="E101" s="11"/>
      <c r="F101" s="614">
        <f t="shared" si="10"/>
        <v>2009</v>
      </c>
      <c r="G101" s="626">
        <f>IF($A$1="Norge",VLOOKUP(F101,Indeksjustering!$C$24:$D$35,2),100)</f>
        <v>117.0312</v>
      </c>
      <c r="I101" s="686" t="s">
        <v>267</v>
      </c>
      <c r="J101" s="584">
        <v>100</v>
      </c>
      <c r="K101" s="584">
        <v>1640</v>
      </c>
      <c r="L101" s="584">
        <v>210</v>
      </c>
      <c r="M101" s="11"/>
      <c r="N101" s="734">
        <v>2009</v>
      </c>
      <c r="O101" s="627"/>
    </row>
    <row r="102" spans="1:16" x14ac:dyDescent="0.25">
      <c r="A102" s="688" t="str">
        <f t="shared" ref="A102" si="11">I102</f>
        <v>Storby</v>
      </c>
      <c r="B102" s="384">
        <f t="shared" ref="B102" si="12">J102*$G102/100</f>
        <v>234.06239999999997</v>
      </c>
      <c r="C102" s="384">
        <f t="shared" ref="C102" si="13">K102*$G102/100</f>
        <v>4213.1232</v>
      </c>
      <c r="D102" s="384">
        <f t="shared" ref="D102" si="14">L102*$G102/100</f>
        <v>245.76552000000001</v>
      </c>
      <c r="E102" s="11"/>
      <c r="F102" s="614">
        <f t="shared" ref="F102" si="15">N102</f>
        <v>2009</v>
      </c>
      <c r="G102" s="626">
        <f>IF($A$1="Norge",VLOOKUP(F102,Indeksjustering!$C$24:$D$35,2),100)</f>
        <v>117.0312</v>
      </c>
      <c r="H102" s="666"/>
      <c r="I102" s="688" t="s">
        <v>266</v>
      </c>
      <c r="J102" s="729">
        <v>200</v>
      </c>
      <c r="K102" s="729">
        <v>3600</v>
      </c>
      <c r="L102" s="729">
        <v>210</v>
      </c>
      <c r="M102" s="11"/>
      <c r="N102" s="734">
        <v>2009</v>
      </c>
      <c r="O102" s="627"/>
      <c r="P102" s="666"/>
    </row>
    <row r="103" spans="1:16" s="689" customFormat="1" x14ac:dyDescent="0.25">
      <c r="F103" s="690"/>
      <c r="G103" s="690"/>
      <c r="H103" s="691"/>
      <c r="N103" s="690"/>
      <c r="P103" s="691"/>
    </row>
    <row r="104" spans="1:16" s="694" customFormat="1" x14ac:dyDescent="0.25">
      <c r="A104" s="692" t="s">
        <v>990</v>
      </c>
      <c r="B104" s="692"/>
      <c r="C104" s="692"/>
      <c r="D104" s="692"/>
      <c r="E104" s="692"/>
      <c r="F104" s="693"/>
      <c r="G104" s="693"/>
      <c r="H104" s="691"/>
      <c r="I104" s="692" t="s">
        <v>990</v>
      </c>
      <c r="N104" s="693"/>
      <c r="P104" s="691"/>
    </row>
    <row r="105" spans="1:16" s="613" customFormat="1" x14ac:dyDescent="0.25">
      <c r="A105" s="622" t="s">
        <v>639</v>
      </c>
      <c r="B105" s="611"/>
      <c r="C105" s="611"/>
      <c r="D105" s="611"/>
      <c r="E105" s="611"/>
      <c r="F105" s="612"/>
      <c r="G105" s="612"/>
      <c r="H105" s="262"/>
      <c r="I105" s="622" t="s">
        <v>639</v>
      </c>
      <c r="J105" s="611"/>
      <c r="K105" s="611"/>
      <c r="L105" s="611"/>
      <c r="M105" s="611"/>
      <c r="N105" s="612"/>
      <c r="O105" s="611"/>
      <c r="P105" s="262"/>
    </row>
    <row r="106" spans="1:16" s="613" customFormat="1" x14ac:dyDescent="0.25">
      <c r="A106" s="622" t="s">
        <v>466</v>
      </c>
      <c r="B106" s="611"/>
      <c r="C106" s="611"/>
      <c r="D106" s="611"/>
      <c r="E106" s="611"/>
      <c r="F106" s="669"/>
      <c r="G106" s="669"/>
      <c r="H106" s="262"/>
      <c r="I106" s="622" t="s">
        <v>466</v>
      </c>
      <c r="J106" s="611"/>
      <c r="K106" s="611"/>
      <c r="L106" s="611"/>
      <c r="M106" s="611"/>
      <c r="N106" s="612"/>
      <c r="O106" s="611"/>
      <c r="P106" s="262"/>
    </row>
    <row r="107" spans="1:16" x14ac:dyDescent="0.25">
      <c r="A107" s="654"/>
      <c r="B107" s="695"/>
      <c r="C107" s="869" t="s">
        <v>374</v>
      </c>
      <c r="D107" s="869"/>
      <c r="E107" s="869"/>
      <c r="F107" s="668"/>
      <c r="G107" s="668"/>
      <c r="H107" s="658"/>
      <c r="I107" s="654"/>
      <c r="J107" s="695"/>
      <c r="K107" s="869" t="s">
        <v>374</v>
      </c>
      <c r="L107" s="869"/>
      <c r="M107" s="869"/>
      <c r="N107" s="696"/>
      <c r="O107" s="633"/>
      <c r="P107" s="658"/>
    </row>
    <row r="108" spans="1:16" x14ac:dyDescent="0.25">
      <c r="A108" s="643"/>
      <c r="B108" s="636"/>
      <c r="C108" s="659">
        <v>0</v>
      </c>
      <c r="D108" s="697" t="s">
        <v>368</v>
      </c>
      <c r="E108" s="697" t="s">
        <v>76</v>
      </c>
      <c r="F108" s="668"/>
      <c r="G108" s="668"/>
      <c r="H108" s="666"/>
      <c r="I108" s="643"/>
      <c r="J108" s="636"/>
      <c r="K108" s="659">
        <v>0</v>
      </c>
      <c r="L108" s="697" t="s">
        <v>368</v>
      </c>
      <c r="M108" s="697" t="s">
        <v>76</v>
      </c>
      <c r="N108" s="680"/>
      <c r="O108" s="636"/>
      <c r="P108" s="666"/>
    </row>
    <row r="109" spans="1:16" x14ac:dyDescent="0.25">
      <c r="A109" s="656" t="s">
        <v>378</v>
      </c>
      <c r="B109" s="11"/>
      <c r="C109" s="698">
        <f>K109</f>
        <v>0.88305729200231986</v>
      </c>
      <c r="D109" s="699">
        <f t="shared" ref="D109:D113" si="16">L109</f>
        <v>0.11694270799768018</v>
      </c>
      <c r="E109" s="699">
        <f t="shared" ref="E109:E113" si="17">M109</f>
        <v>1</v>
      </c>
      <c r="F109" s="668"/>
      <c r="G109" s="668"/>
      <c r="H109" s="665"/>
      <c r="I109" s="656" t="s">
        <v>378</v>
      </c>
      <c r="J109" s="11"/>
      <c r="K109" s="735">
        <v>0.88305729200231986</v>
      </c>
      <c r="L109" s="736">
        <v>0.11694270799768018</v>
      </c>
      <c r="M109" s="736">
        <v>1</v>
      </c>
      <c r="N109" s="668"/>
      <c r="O109" s="11"/>
      <c r="P109" s="665"/>
    </row>
    <row r="110" spans="1:16" x14ac:dyDescent="0.25">
      <c r="A110" s="603" t="s">
        <v>375</v>
      </c>
      <c r="C110" s="700">
        <f t="shared" ref="C110:C113" si="18">K110</f>
        <v>0.1</v>
      </c>
      <c r="D110" s="700">
        <f t="shared" si="16"/>
        <v>0.6</v>
      </c>
      <c r="E110" s="700">
        <f t="shared" si="17"/>
        <v>0.15847135399884002</v>
      </c>
      <c r="F110" s="668"/>
      <c r="G110" s="668"/>
      <c r="I110" s="603" t="s">
        <v>375</v>
      </c>
      <c r="K110" s="737">
        <v>0.1</v>
      </c>
      <c r="L110" s="737">
        <v>0.6</v>
      </c>
      <c r="M110" s="737">
        <v>0.15847135399884002</v>
      </c>
    </row>
    <row r="111" spans="1:16" x14ac:dyDescent="0.25">
      <c r="A111" s="603" t="s">
        <v>377</v>
      </c>
      <c r="C111" s="701">
        <f t="shared" si="18"/>
        <v>1.0154866474437025</v>
      </c>
      <c r="D111" s="701">
        <f t="shared" si="16"/>
        <v>0.8</v>
      </c>
      <c r="E111" s="701">
        <f t="shared" si="17"/>
        <v>1</v>
      </c>
      <c r="F111" s="668"/>
      <c r="G111" s="668"/>
      <c r="I111" s="603" t="s">
        <v>377</v>
      </c>
      <c r="K111" s="732">
        <v>1.0154866474437025</v>
      </c>
      <c r="L111" s="732">
        <v>0.8</v>
      </c>
      <c r="M111" s="732">
        <v>1</v>
      </c>
    </row>
    <row r="112" spans="1:16" ht="15" customHeight="1" x14ac:dyDescent="0.25">
      <c r="A112" s="870" t="s">
        <v>379</v>
      </c>
      <c r="B112" s="871"/>
      <c r="C112" s="875">
        <f t="shared" si="18"/>
        <v>3.5919133867002233E-2</v>
      </c>
      <c r="D112" s="875">
        <f t="shared" si="16"/>
        <v>0.21551480320201341</v>
      </c>
      <c r="E112" s="875">
        <f t="shared" si="17"/>
        <v>5.6921537783694347E-2</v>
      </c>
      <c r="F112" s="668"/>
      <c r="G112" s="668"/>
      <c r="H112" s="665"/>
      <c r="I112" s="870" t="s">
        <v>379</v>
      </c>
      <c r="J112" s="871"/>
      <c r="K112" s="873">
        <v>3.5919133867002233E-2</v>
      </c>
      <c r="L112" s="873">
        <v>0.21551480320201341</v>
      </c>
      <c r="M112" s="873">
        <v>5.6921537783694347E-2</v>
      </c>
      <c r="N112" s="668"/>
      <c r="O112" s="11"/>
      <c r="P112" s="665"/>
    </row>
    <row r="113" spans="1:16" x14ac:dyDescent="0.25">
      <c r="A113" s="872"/>
      <c r="B113" s="871"/>
      <c r="C113" s="876">
        <f t="shared" si="18"/>
        <v>0</v>
      </c>
      <c r="D113" s="876">
        <f t="shared" si="16"/>
        <v>0</v>
      </c>
      <c r="E113" s="876">
        <f t="shared" si="17"/>
        <v>0</v>
      </c>
      <c r="F113" s="668"/>
      <c r="G113" s="668"/>
      <c r="H113" s="665"/>
      <c r="I113" s="872"/>
      <c r="J113" s="871"/>
      <c r="K113" s="874"/>
      <c r="L113" s="874"/>
      <c r="M113" s="874"/>
      <c r="N113" s="668"/>
      <c r="O113" s="11"/>
      <c r="P113" s="665"/>
    </row>
    <row r="114" spans="1:16" ht="15" customHeight="1" x14ac:dyDescent="0.25">
      <c r="A114" s="870" t="s">
        <v>380</v>
      </c>
      <c r="B114" s="871"/>
      <c r="C114" s="877">
        <f>C112*C111</f>
        <v>3.6475400829683653E-2</v>
      </c>
      <c r="D114" s="877">
        <f>D112*D111</f>
        <v>0.17241184256161074</v>
      </c>
      <c r="E114" s="877">
        <f>E112*E111</f>
        <v>5.6921537783694347E-2</v>
      </c>
      <c r="F114" s="668"/>
      <c r="G114" s="668"/>
      <c r="H114" s="665"/>
      <c r="I114" s="870" t="s">
        <v>380</v>
      </c>
      <c r="J114" s="871"/>
      <c r="K114" s="877">
        <f>K112*K111</f>
        <v>3.6475400829683653E-2</v>
      </c>
      <c r="L114" s="877">
        <f>L112*L111</f>
        <v>0.17241184256161074</v>
      </c>
      <c r="M114" s="877">
        <f>M112*M111</f>
        <v>5.6921537783694347E-2</v>
      </c>
      <c r="N114" s="668"/>
      <c r="O114" s="11"/>
      <c r="P114" s="665"/>
    </row>
    <row r="115" spans="1:16" x14ac:dyDescent="0.25">
      <c r="A115" s="879"/>
      <c r="B115" s="880"/>
      <c r="C115" s="878"/>
      <c r="D115" s="878"/>
      <c r="E115" s="878"/>
      <c r="F115" s="668"/>
      <c r="G115" s="668"/>
      <c r="H115" s="666"/>
      <c r="I115" s="879"/>
      <c r="J115" s="880"/>
      <c r="K115" s="878"/>
      <c r="L115" s="878"/>
      <c r="M115" s="878"/>
      <c r="N115" s="680"/>
      <c r="O115" s="636"/>
      <c r="P115" s="666"/>
    </row>
    <row r="116" spans="1:16" x14ac:dyDescent="0.25">
      <c r="D116" s="702"/>
      <c r="E116" s="702"/>
      <c r="F116" s="668"/>
      <c r="G116" s="668"/>
      <c r="L116" s="702"/>
      <c r="M116" s="702"/>
    </row>
    <row r="117" spans="1:16" s="621" customFormat="1" x14ac:dyDescent="0.25">
      <c r="A117" s="617" t="s">
        <v>823</v>
      </c>
      <c r="B117" s="618"/>
      <c r="C117" s="619"/>
      <c r="D117" s="618"/>
      <c r="E117" s="618"/>
      <c r="F117" s="620"/>
      <c r="G117" s="620"/>
      <c r="H117" s="262" t="s">
        <v>751</v>
      </c>
      <c r="I117" s="617" t="s">
        <v>823</v>
      </c>
      <c r="J117" s="618"/>
      <c r="K117" s="682"/>
      <c r="L117" s="703"/>
      <c r="M117" s="618"/>
      <c r="N117" s="620"/>
      <c r="O117" s="618"/>
      <c r="P117" s="262"/>
    </row>
    <row r="118" spans="1:16" x14ac:dyDescent="0.25">
      <c r="A118" s="622" t="s">
        <v>553</v>
      </c>
      <c r="B118" s="611"/>
      <c r="C118" s="611"/>
      <c r="D118" s="611"/>
      <c r="E118" s="611"/>
      <c r="F118" s="612"/>
      <c r="G118" s="612"/>
      <c r="I118" s="622" t="s">
        <v>553</v>
      </c>
      <c r="J118" s="611"/>
      <c r="K118" s="611"/>
      <c r="L118" s="611"/>
      <c r="M118" s="611"/>
      <c r="N118" s="612"/>
      <c r="O118" s="611"/>
    </row>
    <row r="119" spans="1:16" x14ac:dyDescent="0.25">
      <c r="A119" s="622" t="s">
        <v>554</v>
      </c>
      <c r="B119" s="611"/>
      <c r="C119" s="611"/>
      <c r="D119" s="611"/>
      <c r="E119" s="611"/>
      <c r="F119" s="612"/>
      <c r="G119" s="612"/>
      <c r="I119" s="622" t="s">
        <v>554</v>
      </c>
      <c r="J119" s="611"/>
      <c r="K119" s="611"/>
      <c r="L119" s="611"/>
      <c r="M119" s="611"/>
      <c r="N119" s="612"/>
      <c r="O119" s="611"/>
    </row>
    <row r="121" spans="1:16" x14ac:dyDescent="0.25">
      <c r="A121" s="648"/>
      <c r="B121" s="648"/>
      <c r="C121" s="704" t="s">
        <v>63</v>
      </c>
      <c r="D121" s="704" t="s">
        <v>64</v>
      </c>
      <c r="E121" s="704" t="s">
        <v>65</v>
      </c>
      <c r="I121" s="648"/>
      <c r="J121" s="648"/>
      <c r="K121" s="704" t="s">
        <v>63</v>
      </c>
      <c r="L121" s="704" t="s">
        <v>64</v>
      </c>
      <c r="M121" s="704" t="s">
        <v>65</v>
      </c>
      <c r="N121" s="718" t="s">
        <v>1024</v>
      </c>
    </row>
    <row r="122" spans="1:16" x14ac:dyDescent="0.25">
      <c r="A122" s="10" t="s">
        <v>552</v>
      </c>
      <c r="C122" s="705">
        <v>1.3422818791946308E-2</v>
      </c>
      <c r="D122" s="705">
        <v>6.0402684563758392E-2</v>
      </c>
      <c r="E122" s="705">
        <v>0.85906040268456374</v>
      </c>
      <c r="I122" s="10" t="s">
        <v>552</v>
      </c>
      <c r="K122" s="738">
        <v>1.3422818791946308E-2</v>
      </c>
      <c r="L122" s="738">
        <v>6.0402684563758392E-2</v>
      </c>
      <c r="M122" s="738">
        <v>0.85906040268456374</v>
      </c>
    </row>
    <row r="123" spans="1:16" x14ac:dyDescent="0.25">
      <c r="A123" s="637" t="s">
        <v>638</v>
      </c>
      <c r="B123" s="636"/>
      <c r="C123" s="706">
        <f>K123*$G123/100</f>
        <v>35370154.666703999</v>
      </c>
      <c r="D123" s="706">
        <f>L123*$G123/100</f>
        <v>9530607.8078639992</v>
      </c>
      <c r="E123" s="706">
        <f>M123*$G123/100</f>
        <v>718205.26034400007</v>
      </c>
      <c r="F123" s="614">
        <f>N123</f>
        <v>2009</v>
      </c>
      <c r="G123" s="626">
        <f>IF($A$1="Norge",VLOOKUP(F123,Indeksjustering!$C$24:$D$35,2),100)</f>
        <v>117.0312</v>
      </c>
      <c r="I123" s="637" t="s">
        <v>1026</v>
      </c>
      <c r="J123" s="636"/>
      <c r="K123" s="706">
        <f>K13</f>
        <v>30222842</v>
      </c>
      <c r="L123" s="706">
        <f>K16</f>
        <v>8143647</v>
      </c>
      <c r="M123" s="706">
        <f>K17</f>
        <v>613687</v>
      </c>
      <c r="N123" s="687">
        <f>N18</f>
        <v>2009</v>
      </c>
      <c r="O123" s="627"/>
    </row>
    <row r="124" spans="1:16" x14ac:dyDescent="0.25">
      <c r="A124" s="648"/>
      <c r="B124" s="648"/>
      <c r="C124" s="704" t="s">
        <v>76</v>
      </c>
      <c r="I124" s="648"/>
      <c r="J124" s="648"/>
      <c r="K124" s="704" t="s">
        <v>76</v>
      </c>
      <c r="N124" s="614"/>
    </row>
    <row r="125" spans="1:16" x14ac:dyDescent="0.25">
      <c r="A125" s="707" t="s">
        <v>817</v>
      </c>
      <c r="B125" s="648"/>
      <c r="C125" s="706">
        <f>K125*$G125/100</f>
        <v>1667423.1740148724</v>
      </c>
      <c r="F125" s="614">
        <f>N125</f>
        <v>2009</v>
      </c>
      <c r="G125" s="626">
        <f>IF($A$1="Norge",VLOOKUP(F125,Indeksjustering!$C$24:$D$35,2),100)</f>
        <v>117.0312</v>
      </c>
      <c r="I125" s="707" t="s">
        <v>1025</v>
      </c>
      <c r="J125" s="648"/>
      <c r="K125" s="708">
        <f>K122*K123+L122*L123+M122*M123</f>
        <v>1424768.0738255032</v>
      </c>
      <c r="N125" s="687">
        <f>N123</f>
        <v>2009</v>
      </c>
    </row>
    <row r="126" spans="1:16" x14ac:dyDescent="0.25">
      <c r="A126" s="709"/>
    </row>
    <row r="127" spans="1:16" s="621" customFormat="1" x14ac:dyDescent="0.25">
      <c r="A127" s="692" t="s">
        <v>990</v>
      </c>
      <c r="B127" s="618"/>
      <c r="C127" s="619"/>
      <c r="D127" s="618"/>
      <c r="E127" s="618"/>
      <c r="F127" s="620"/>
      <c r="G127" s="620"/>
      <c r="H127" s="262" t="s">
        <v>751</v>
      </c>
      <c r="I127" s="692" t="s">
        <v>990</v>
      </c>
      <c r="J127" s="618"/>
      <c r="K127" s="619"/>
      <c r="L127" s="618"/>
      <c r="M127" s="618"/>
      <c r="N127" s="620"/>
      <c r="O127" s="618"/>
      <c r="P127" s="262"/>
    </row>
    <row r="128" spans="1:16" x14ac:dyDescent="0.25">
      <c r="A128" s="622" t="s">
        <v>743</v>
      </c>
      <c r="B128" s="611"/>
      <c r="C128" s="611"/>
      <c r="D128" s="611"/>
      <c r="E128" s="611"/>
      <c r="F128" s="612"/>
      <c r="G128" s="612"/>
      <c r="I128" s="622" t="s">
        <v>743</v>
      </c>
      <c r="J128" s="611"/>
      <c r="K128" s="611"/>
      <c r="L128" s="611"/>
      <c r="M128" s="611"/>
      <c r="N128" s="612"/>
      <c r="O128" s="611"/>
    </row>
    <row r="129" spans="1:16" x14ac:dyDescent="0.25">
      <c r="A129" s="622" t="s">
        <v>818</v>
      </c>
      <c r="B129" s="611"/>
      <c r="C129" s="611"/>
      <c r="D129" s="611"/>
      <c r="E129" s="611"/>
      <c r="F129" s="612"/>
      <c r="G129" s="612"/>
      <c r="I129" s="622" t="s">
        <v>818</v>
      </c>
      <c r="J129" s="611"/>
      <c r="K129" s="611"/>
      <c r="L129" s="611"/>
      <c r="M129" s="611"/>
      <c r="N129" s="612"/>
      <c r="O129" s="611"/>
    </row>
    <row r="131" spans="1:16" x14ac:dyDescent="0.25">
      <c r="A131" s="648"/>
      <c r="B131" s="648"/>
      <c r="C131" s="704" t="s">
        <v>747</v>
      </c>
      <c r="D131" s="710"/>
      <c r="E131" s="710"/>
      <c r="I131" s="648"/>
      <c r="J131" s="648"/>
      <c r="K131" s="704" t="s">
        <v>747</v>
      </c>
      <c r="L131" s="710"/>
      <c r="M131" s="710"/>
      <c r="N131" s="718" t="s">
        <v>1024</v>
      </c>
    </row>
    <row r="132" spans="1:16" x14ac:dyDescent="0.25">
      <c r="A132" s="603" t="s">
        <v>819</v>
      </c>
      <c r="B132" s="11"/>
      <c r="C132" s="701">
        <f>K132*$G132/100</f>
        <v>2.2186414800000001</v>
      </c>
      <c r="D132" s="711"/>
      <c r="E132" s="711"/>
      <c r="F132" s="614">
        <f t="shared" ref="F132:F133" si="19">N132</f>
        <v>2012</v>
      </c>
      <c r="G132" s="626">
        <f>IF($A$1="Norge",VLOOKUP(F132,Indeksjustering!$C$24:$D$35,2),100)</f>
        <v>104.65289999999999</v>
      </c>
      <c r="I132" s="603" t="s">
        <v>819</v>
      </c>
      <c r="J132" s="11"/>
      <c r="K132" s="716">
        <v>2.12</v>
      </c>
      <c r="L132" s="711"/>
      <c r="M132" s="711"/>
      <c r="N132" s="734">
        <v>2012</v>
      </c>
      <c r="O132" s="662">
        <v>2009</v>
      </c>
    </row>
    <row r="133" spans="1:16" x14ac:dyDescent="0.25">
      <c r="A133" s="637" t="s">
        <v>504</v>
      </c>
      <c r="B133" s="636"/>
      <c r="C133" s="712">
        <f>K133*$G133/100</f>
        <v>2.9616770699999995</v>
      </c>
      <c r="D133" s="711"/>
      <c r="E133" s="713"/>
      <c r="F133" s="614">
        <f t="shared" si="19"/>
        <v>2012</v>
      </c>
      <c r="G133" s="626">
        <f>IF($A$1="Norge",VLOOKUP(F133,Indeksjustering!$C$24:$D$35,2),100)</f>
        <v>104.65289999999999</v>
      </c>
      <c r="I133" s="637" t="s">
        <v>504</v>
      </c>
      <c r="J133" s="636"/>
      <c r="K133" s="722">
        <v>2.83</v>
      </c>
      <c r="L133" s="711"/>
      <c r="M133" s="713"/>
      <c r="N133" s="734">
        <v>2012</v>
      </c>
      <c r="O133" s="662">
        <v>2009</v>
      </c>
    </row>
    <row r="134" spans="1:16" x14ac:dyDescent="0.25">
      <c r="I134" s="603"/>
    </row>
    <row r="135" spans="1:16" x14ac:dyDescent="0.25">
      <c r="A135" s="617" t="s">
        <v>840</v>
      </c>
      <c r="B135" s="618"/>
      <c r="C135" s="619"/>
      <c r="D135" s="618"/>
      <c r="E135" s="618"/>
      <c r="F135" s="620"/>
      <c r="G135" s="620"/>
      <c r="H135" s="262" t="s">
        <v>751</v>
      </c>
      <c r="I135" s="617" t="s">
        <v>840</v>
      </c>
      <c r="J135" s="618"/>
      <c r="K135" s="619"/>
      <c r="L135" s="619"/>
      <c r="M135" s="619"/>
      <c r="N135" s="620"/>
      <c r="O135" s="620"/>
    </row>
    <row r="136" spans="1:16" x14ac:dyDescent="0.25">
      <c r="A136" s="622" t="s">
        <v>841</v>
      </c>
      <c r="B136" s="611"/>
      <c r="C136" s="611"/>
      <c r="D136" s="611"/>
      <c r="E136" s="611"/>
      <c r="F136" s="612"/>
      <c r="G136" s="612"/>
      <c r="I136" s="622" t="s">
        <v>841</v>
      </c>
      <c r="J136" s="611"/>
      <c r="K136" s="611"/>
      <c r="L136" s="611"/>
      <c r="M136" s="611"/>
      <c r="N136" s="612"/>
      <c r="O136" s="611"/>
    </row>
    <row r="137" spans="1:16" x14ac:dyDescent="0.25">
      <c r="A137" s="622" t="s">
        <v>825</v>
      </c>
      <c r="B137" s="611"/>
      <c r="C137" s="611"/>
      <c r="D137" s="611"/>
      <c r="E137" s="611"/>
      <c r="F137" s="612"/>
      <c r="G137" s="612"/>
      <c r="I137" s="622" t="s">
        <v>825</v>
      </c>
      <c r="J137" s="611"/>
      <c r="K137" s="611"/>
      <c r="L137" s="611"/>
      <c r="M137" s="611"/>
      <c r="N137" s="612"/>
      <c r="O137" s="611"/>
    </row>
    <row r="139" spans="1:16" x14ac:dyDescent="0.25">
      <c r="A139" s="648"/>
      <c r="B139" s="648"/>
      <c r="C139" s="704" t="s">
        <v>747</v>
      </c>
      <c r="D139" s="710"/>
      <c r="E139" s="710"/>
      <c r="I139" s="648"/>
      <c r="J139" s="648"/>
      <c r="K139" s="704" t="s">
        <v>747</v>
      </c>
      <c r="L139" s="710"/>
      <c r="M139" s="710"/>
      <c r="N139" s="718" t="s">
        <v>1024</v>
      </c>
    </row>
    <row r="140" spans="1:16" x14ac:dyDescent="0.25">
      <c r="A140" s="634" t="s">
        <v>842</v>
      </c>
      <c r="B140" s="633"/>
      <c r="C140" s="714">
        <f>K140*G140/100</f>
        <v>1.0532808</v>
      </c>
      <c r="D140" s="711"/>
      <c r="E140" s="711"/>
      <c r="F140" s="614">
        <f t="shared" ref="F140:F141" si="20">N140</f>
        <v>2009</v>
      </c>
      <c r="G140" s="626">
        <f>IF($A$1="Norge",VLOOKUP(F140,Indeksjustering!$C$24:$D$35,2),100)</f>
        <v>117.0312</v>
      </c>
      <c r="I140" s="634" t="s">
        <v>842</v>
      </c>
      <c r="J140" s="633"/>
      <c r="K140" s="739">
        <v>0.9</v>
      </c>
      <c r="L140" s="711"/>
      <c r="M140" s="711"/>
      <c r="N140" s="734">
        <v>2009</v>
      </c>
      <c r="O140" s="662">
        <v>2009</v>
      </c>
    </row>
    <row r="141" spans="1:16" x14ac:dyDescent="0.25">
      <c r="A141" s="637" t="s">
        <v>843</v>
      </c>
      <c r="B141" s="636"/>
      <c r="C141" s="712">
        <f>K141*G141/100</f>
        <v>7.4990082024000007</v>
      </c>
      <c r="D141" s="711"/>
      <c r="E141" s="711"/>
      <c r="F141" s="614">
        <f t="shared" si="20"/>
        <v>2009</v>
      </c>
      <c r="G141" s="626">
        <f>IF($A$1="Norge",VLOOKUP(F141,Indeksjustering!$C$24:$D$35,2),100)</f>
        <v>117.0312</v>
      </c>
      <c r="I141" s="637" t="s">
        <v>843</v>
      </c>
      <c r="J141" s="636"/>
      <c r="K141" s="733">
        <v>6.4077000000000002</v>
      </c>
      <c r="L141" s="711"/>
      <c r="M141" s="711"/>
      <c r="N141" s="734">
        <v>2009</v>
      </c>
      <c r="O141" s="662"/>
    </row>
    <row r="143" spans="1:16" s="621" customFormat="1" x14ac:dyDescent="0.25">
      <c r="A143" s="617" t="s">
        <v>824</v>
      </c>
      <c r="B143" s="618"/>
      <c r="C143" s="619"/>
      <c r="D143" s="618"/>
      <c r="E143" s="618"/>
      <c r="F143" s="620"/>
      <c r="G143" s="620"/>
      <c r="H143" s="262" t="s">
        <v>751</v>
      </c>
      <c r="I143" s="617" t="s">
        <v>824</v>
      </c>
      <c r="J143" s="618"/>
      <c r="K143" s="619"/>
      <c r="L143" s="619"/>
      <c r="M143" s="619"/>
      <c r="N143" s="620"/>
      <c r="O143" s="618"/>
      <c r="P143" s="262"/>
    </row>
    <row r="144" spans="1:16" x14ac:dyDescent="0.25">
      <c r="A144" s="622" t="s">
        <v>826</v>
      </c>
      <c r="B144" s="611"/>
      <c r="C144" s="611"/>
      <c r="D144" s="611"/>
      <c r="E144" s="611"/>
      <c r="F144" s="612"/>
      <c r="G144" s="612"/>
      <c r="I144" s="622" t="s">
        <v>826</v>
      </c>
      <c r="J144" s="611"/>
      <c r="K144" s="611"/>
      <c r="L144" s="611"/>
      <c r="M144" s="611"/>
      <c r="N144" s="612"/>
      <c r="O144" s="611"/>
    </row>
    <row r="145" spans="1:15" x14ac:dyDescent="0.25">
      <c r="A145" s="622" t="s">
        <v>825</v>
      </c>
      <c r="B145" s="611"/>
      <c r="C145" s="611"/>
      <c r="D145" s="611"/>
      <c r="E145" s="611"/>
      <c r="F145" s="612"/>
      <c r="G145" s="612"/>
      <c r="I145" s="622" t="s">
        <v>825</v>
      </c>
      <c r="J145" s="611"/>
      <c r="K145" s="611"/>
      <c r="L145" s="611"/>
      <c r="M145" s="611"/>
      <c r="N145" s="612"/>
      <c r="O145" s="611"/>
    </row>
    <row r="147" spans="1:15" x14ac:dyDescent="0.25">
      <c r="A147" s="648"/>
      <c r="B147" s="648"/>
      <c r="C147" s="704" t="s">
        <v>747</v>
      </c>
      <c r="D147" s="710"/>
      <c r="E147" s="710"/>
      <c r="I147" s="648"/>
      <c r="J147" s="648"/>
      <c r="K147" s="704" t="s">
        <v>747</v>
      </c>
      <c r="L147" s="710"/>
      <c r="M147" s="710"/>
      <c r="N147" s="718" t="s">
        <v>1024</v>
      </c>
    </row>
    <row r="148" spans="1:15" x14ac:dyDescent="0.25">
      <c r="A148" s="707" t="s">
        <v>827</v>
      </c>
      <c r="B148" s="648"/>
      <c r="C148" s="715">
        <f>K148*G148/100</f>
        <v>4.7397635999999999</v>
      </c>
      <c r="D148" s="711"/>
      <c r="E148" s="711"/>
      <c r="F148" s="614">
        <f>N148</f>
        <v>2009</v>
      </c>
      <c r="G148" s="626">
        <f>IF($A$1="Norge",VLOOKUP(F148,Indeksjustering!$C$24:$D$35,2),100)</f>
        <v>117.0312</v>
      </c>
      <c r="I148" s="707" t="s">
        <v>827</v>
      </c>
      <c r="J148" s="648"/>
      <c r="K148" s="740">
        <v>4.05</v>
      </c>
      <c r="L148" s="711"/>
      <c r="M148" s="711"/>
      <c r="N148" s="734">
        <v>2009</v>
      </c>
      <c r="O148" s="662">
        <v>2009</v>
      </c>
    </row>
  </sheetData>
  <sheetProtection algorithmName="SHA-512" hashValue="W3v9goCtiYdzEWPorbIg1UZGcdC23M4BosRn6KJOeLy3d3XAhr8IuRHOypzehD6+2yQK5oQ5OOP8k/FuZC7Z8g==" saltValue="SNPa+i3aXBVm16juL8sYYQ==" spinCount="100000" sheet="1" objects="1" scenarios="1" formatCells="0"/>
  <sortState ref="J31:K40">
    <sortCondition ref="J31:J40"/>
  </sortState>
  <mergeCells count="18">
    <mergeCell ref="K114:K115"/>
    <mergeCell ref="L114:L115"/>
    <mergeCell ref="M114:M115"/>
    <mergeCell ref="A112:B113"/>
    <mergeCell ref="A114:B115"/>
    <mergeCell ref="C114:C115"/>
    <mergeCell ref="D114:D115"/>
    <mergeCell ref="I114:J115"/>
    <mergeCell ref="C107:E107"/>
    <mergeCell ref="C112:C113"/>
    <mergeCell ref="D112:D113"/>
    <mergeCell ref="E112:E113"/>
    <mergeCell ref="E114:E115"/>
    <mergeCell ref="K107:M107"/>
    <mergeCell ref="I112:J113"/>
    <mergeCell ref="K112:K113"/>
    <mergeCell ref="L112:L113"/>
    <mergeCell ref="M112:M113"/>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tabColor rgb="FFFF0000"/>
    <pageSetUpPr fitToPage="1"/>
  </sheetPr>
  <dimension ref="A1:N35"/>
  <sheetViews>
    <sheetView showGridLines="0" workbookViewId="0">
      <selection activeCell="E82" sqref="E82"/>
    </sheetView>
  </sheetViews>
  <sheetFormatPr baseColWidth="10" defaultColWidth="0" defaultRowHeight="15" zeroHeight="1" x14ac:dyDescent="0.25"/>
  <cols>
    <col min="1" max="1" width="5.7109375" style="359" customWidth="1"/>
    <col min="2" max="2" width="5" bestFit="1" customWidth="1"/>
    <col min="3" max="14" width="9.42578125" customWidth="1"/>
    <col min="15" max="16384" width="11.42578125" hidden="1"/>
  </cols>
  <sheetData>
    <row r="1" spans="1:14" x14ac:dyDescent="0.25">
      <c r="A1" s="1" t="s">
        <v>658</v>
      </c>
    </row>
    <row r="2" spans="1:14" s="359" customFormat="1" x14ac:dyDescent="0.25"/>
    <row r="3" spans="1:14" x14ac:dyDescent="0.25">
      <c r="A3" s="379" t="s">
        <v>662</v>
      </c>
    </row>
    <row r="4" spans="1:14" x14ac:dyDescent="0.25">
      <c r="A4" s="106"/>
      <c r="B4" s="106"/>
      <c r="C4" s="130" t="s">
        <v>650</v>
      </c>
      <c r="D4" s="106"/>
      <c r="E4" s="106"/>
      <c r="F4" s="106"/>
      <c r="G4" s="106"/>
      <c r="H4" s="106"/>
      <c r="I4" s="106"/>
      <c r="J4" s="106"/>
      <c r="K4" s="106"/>
      <c r="L4" s="106"/>
      <c r="M4" s="106"/>
      <c r="N4" s="106"/>
    </row>
    <row r="5" spans="1:14" x14ac:dyDescent="0.25">
      <c r="A5" s="106"/>
      <c r="B5" s="106"/>
      <c r="C5" s="130">
        <v>2009</v>
      </c>
      <c r="D5" s="130">
        <v>2010</v>
      </c>
      <c r="E5" s="130">
        <v>2011</v>
      </c>
      <c r="F5" s="130">
        <v>2012</v>
      </c>
      <c r="G5" s="130">
        <v>2013</v>
      </c>
      <c r="H5" s="130">
        <v>2014</v>
      </c>
      <c r="I5" s="130">
        <v>2015</v>
      </c>
      <c r="J5" s="130">
        <v>2016</v>
      </c>
      <c r="K5" s="130">
        <v>2017</v>
      </c>
      <c r="L5" s="130">
        <v>2018</v>
      </c>
      <c r="M5" s="130">
        <v>2019</v>
      </c>
      <c r="N5" s="130">
        <v>2020</v>
      </c>
    </row>
    <row r="6" spans="1:14" x14ac:dyDescent="0.25">
      <c r="A6" s="378" t="s">
        <v>652</v>
      </c>
      <c r="B6" s="130">
        <v>2009</v>
      </c>
      <c r="C6" s="376">
        <v>100</v>
      </c>
      <c r="D6" s="106">
        <v>103.2</v>
      </c>
      <c r="E6" s="106">
        <v>109.3</v>
      </c>
      <c r="F6" s="106">
        <v>111.8</v>
      </c>
      <c r="G6" s="376">
        <v>114.4</v>
      </c>
      <c r="H6" s="376">
        <v>117.0312</v>
      </c>
      <c r="I6" s="376">
        <v>119.72291759999999</v>
      </c>
      <c r="J6" s="376">
        <v>122.47654470479998</v>
      </c>
      <c r="K6" s="376">
        <v>125.29350523301036</v>
      </c>
      <c r="L6" s="376">
        <v>128.17525585336958</v>
      </c>
      <c r="M6" s="376">
        <v>131.12328673799706</v>
      </c>
      <c r="N6" s="376">
        <v>134.13912233297097</v>
      </c>
    </row>
    <row r="7" spans="1:14" x14ac:dyDescent="0.25">
      <c r="A7" s="106"/>
      <c r="B7" s="130">
        <v>2010</v>
      </c>
      <c r="C7" s="106"/>
      <c r="D7" s="376">
        <v>100</v>
      </c>
      <c r="E7" s="106">
        <v>105.9</v>
      </c>
      <c r="F7" s="106">
        <v>108.3</v>
      </c>
      <c r="G7" s="376">
        <v>110.8</v>
      </c>
      <c r="H7" s="376">
        <v>113.34839999999998</v>
      </c>
      <c r="I7" s="376">
        <v>115.95541319999997</v>
      </c>
      <c r="J7" s="376">
        <v>118.62238770359995</v>
      </c>
      <c r="K7" s="376">
        <v>121.35070262078274</v>
      </c>
      <c r="L7" s="376">
        <v>124.14176878106073</v>
      </c>
      <c r="M7" s="376">
        <v>126.99702946302511</v>
      </c>
      <c r="N7" s="376">
        <v>129.91796114067469</v>
      </c>
    </row>
    <row r="8" spans="1:14" x14ac:dyDescent="0.25">
      <c r="A8" s="106"/>
      <c r="B8" s="130">
        <v>2011</v>
      </c>
      <c r="C8" s="106"/>
      <c r="D8" s="106"/>
      <c r="E8" s="376">
        <v>100</v>
      </c>
      <c r="F8" s="106">
        <v>102.3</v>
      </c>
      <c r="G8" s="376">
        <v>104.7</v>
      </c>
      <c r="H8" s="376">
        <v>107.10809999999999</v>
      </c>
      <c r="I8" s="376">
        <v>109.57158629999998</v>
      </c>
      <c r="J8" s="376">
        <v>112.09173278489997</v>
      </c>
      <c r="K8" s="376">
        <v>114.66984263895266</v>
      </c>
      <c r="L8" s="376">
        <v>117.30724901964857</v>
      </c>
      <c r="M8" s="376">
        <v>120.00531574710047</v>
      </c>
      <c r="N8" s="376">
        <v>122.76543800928377</v>
      </c>
    </row>
    <row r="9" spans="1:14" x14ac:dyDescent="0.25">
      <c r="A9" s="106"/>
      <c r="B9" s="130">
        <v>2012</v>
      </c>
      <c r="C9" s="106"/>
      <c r="D9" s="106"/>
      <c r="E9" s="106"/>
      <c r="F9" s="376">
        <v>100</v>
      </c>
      <c r="G9" s="376">
        <v>102.3</v>
      </c>
      <c r="H9" s="376">
        <v>104.65289999999999</v>
      </c>
      <c r="I9" s="376">
        <v>107.05991669999997</v>
      </c>
      <c r="J9" s="376">
        <v>109.52229478409997</v>
      </c>
      <c r="K9" s="376">
        <v>112.04130756413426</v>
      </c>
      <c r="L9" s="376">
        <v>114.61825763810934</v>
      </c>
      <c r="M9" s="376">
        <v>117.25447756378584</v>
      </c>
      <c r="N9" s="376">
        <v>119.9513305477529</v>
      </c>
    </row>
    <row r="10" spans="1:14" x14ac:dyDescent="0.25">
      <c r="A10" s="106"/>
      <c r="B10" s="130">
        <v>2013</v>
      </c>
      <c r="C10" s="106"/>
      <c r="D10" s="106"/>
      <c r="E10" s="106"/>
      <c r="F10" s="106"/>
      <c r="G10" s="376">
        <v>100</v>
      </c>
      <c r="H10" s="376">
        <v>102.3</v>
      </c>
      <c r="I10" s="376">
        <v>104.65289999999999</v>
      </c>
      <c r="J10" s="376">
        <v>107.05991669999997</v>
      </c>
      <c r="K10" s="376">
        <v>109.52229478409997</v>
      </c>
      <c r="L10" s="376">
        <v>112.04130756413426</v>
      </c>
      <c r="M10" s="376">
        <v>114.61825763810934</v>
      </c>
      <c r="N10" s="376">
        <v>117.25447756378584</v>
      </c>
    </row>
    <row r="11" spans="1:14" x14ac:dyDescent="0.25">
      <c r="A11" s="106"/>
      <c r="B11" s="130">
        <v>2014</v>
      </c>
      <c r="C11" s="106"/>
      <c r="D11" s="106"/>
      <c r="E11" s="106"/>
      <c r="F11" s="106"/>
      <c r="G11" s="376"/>
      <c r="H11" s="376">
        <v>100</v>
      </c>
      <c r="I11" s="376">
        <v>102.3</v>
      </c>
      <c r="J11" s="376">
        <v>104.65289999999999</v>
      </c>
      <c r="K11" s="376">
        <v>107.05991669999997</v>
      </c>
      <c r="L11" s="376">
        <v>109.52229478409997</v>
      </c>
      <c r="M11" s="376">
        <v>112.04130756413426</v>
      </c>
      <c r="N11" s="376">
        <v>114.61825763810934</v>
      </c>
    </row>
    <row r="12" spans="1:14" x14ac:dyDescent="0.25">
      <c r="A12" s="106"/>
      <c r="B12" s="130">
        <v>2015</v>
      </c>
      <c r="C12" s="106"/>
      <c r="D12" s="106"/>
      <c r="E12" s="106"/>
      <c r="F12" s="106"/>
      <c r="G12" s="376"/>
      <c r="H12" s="376"/>
      <c r="I12" s="376">
        <v>100</v>
      </c>
      <c r="J12" s="376">
        <v>102.3</v>
      </c>
      <c r="K12" s="376">
        <v>104.65289999999999</v>
      </c>
      <c r="L12" s="376">
        <v>107.05991669999997</v>
      </c>
      <c r="M12" s="376">
        <v>109.52229478409997</v>
      </c>
      <c r="N12" s="376">
        <v>112.04130756413426</v>
      </c>
    </row>
    <row r="13" spans="1:14" x14ac:dyDescent="0.25">
      <c r="A13" s="106"/>
      <c r="B13" s="130">
        <v>2016</v>
      </c>
      <c r="C13" s="106"/>
      <c r="D13" s="106"/>
      <c r="E13" s="106"/>
      <c r="F13" s="106"/>
      <c r="G13" s="376"/>
      <c r="H13" s="376"/>
      <c r="I13" s="376"/>
      <c r="J13" s="376">
        <v>100</v>
      </c>
      <c r="K13" s="376">
        <v>102.3</v>
      </c>
      <c r="L13" s="376">
        <v>104.65289999999999</v>
      </c>
      <c r="M13" s="376">
        <v>107.05991669999997</v>
      </c>
      <c r="N13" s="376">
        <v>109.52229478409997</v>
      </c>
    </row>
    <row r="14" spans="1:14" x14ac:dyDescent="0.25">
      <c r="A14" s="106"/>
      <c r="B14" s="130">
        <v>2017</v>
      </c>
      <c r="C14" s="106"/>
      <c r="D14" s="106"/>
      <c r="E14" s="106"/>
      <c r="F14" s="106"/>
      <c r="G14" s="376"/>
      <c r="H14" s="376"/>
      <c r="I14" s="376"/>
      <c r="J14" s="376"/>
      <c r="K14" s="376">
        <v>100</v>
      </c>
      <c r="L14" s="376">
        <v>102.3</v>
      </c>
      <c r="M14" s="376">
        <v>104.65289999999999</v>
      </c>
      <c r="N14" s="376">
        <v>107.05991669999997</v>
      </c>
    </row>
    <row r="15" spans="1:14" x14ac:dyDescent="0.25">
      <c r="A15" s="106"/>
      <c r="B15" s="130">
        <v>2018</v>
      </c>
      <c r="C15" s="106"/>
      <c r="D15" s="106"/>
      <c r="E15" s="106"/>
      <c r="F15" s="106"/>
      <c r="G15" s="376"/>
      <c r="H15" s="376"/>
      <c r="I15" s="376"/>
      <c r="J15" s="376"/>
      <c r="K15" s="376"/>
      <c r="L15" s="376">
        <v>100</v>
      </c>
      <c r="M15" s="376">
        <v>102.3</v>
      </c>
      <c r="N15" s="376">
        <v>104.65289999999999</v>
      </c>
    </row>
    <row r="16" spans="1:14" x14ac:dyDescent="0.25">
      <c r="A16" s="106"/>
      <c r="B16" s="130">
        <v>2019</v>
      </c>
      <c r="C16" s="106"/>
      <c r="D16" s="106"/>
      <c r="E16" s="106"/>
      <c r="F16" s="106"/>
      <c r="G16" s="376"/>
      <c r="H16" s="376"/>
      <c r="I16" s="376"/>
      <c r="J16" s="376"/>
      <c r="K16" s="376"/>
      <c r="L16" s="376"/>
      <c r="M16" s="376">
        <v>100</v>
      </c>
      <c r="N16" s="376">
        <v>102.3</v>
      </c>
    </row>
    <row r="17" spans="1:14" x14ac:dyDescent="0.25">
      <c r="A17" s="106"/>
      <c r="B17" s="130">
        <v>2020</v>
      </c>
      <c r="C17" s="106"/>
      <c r="D17" s="106"/>
      <c r="E17" s="106"/>
      <c r="F17" s="106"/>
      <c r="G17" s="376"/>
      <c r="H17" s="376"/>
      <c r="I17" s="376"/>
      <c r="J17" s="376"/>
      <c r="K17" s="376"/>
      <c r="L17" s="376"/>
      <c r="M17" s="376"/>
      <c r="N17" s="376">
        <v>100</v>
      </c>
    </row>
    <row r="18" spans="1:14" x14ac:dyDescent="0.25">
      <c r="A18" s="377" t="s">
        <v>981</v>
      </c>
    </row>
    <row r="19" spans="1:14" s="359" customFormat="1" x14ac:dyDescent="0.25"/>
    <row r="20" spans="1:14" x14ac:dyDescent="0.25">
      <c r="C20" s="114" t="s">
        <v>653</v>
      </c>
      <c r="D20" s="130">
        <f>'Data-beregninger'!K3</f>
        <v>2014</v>
      </c>
      <c r="E20" s="377" t="s">
        <v>657</v>
      </c>
    </row>
    <row r="21" spans="1:14" s="359" customFormat="1" x14ac:dyDescent="0.25">
      <c r="C21" s="1"/>
      <c r="D21" s="1"/>
      <c r="E21" s="377"/>
    </row>
    <row r="22" spans="1:14" x14ac:dyDescent="0.25">
      <c r="B22" s="359"/>
      <c r="C22" s="379" t="s">
        <v>660</v>
      </c>
      <c r="D22" s="359"/>
    </row>
    <row r="23" spans="1:14" x14ac:dyDescent="0.25">
      <c r="B23" s="380" t="s">
        <v>659</v>
      </c>
      <c r="C23" s="378" t="s">
        <v>652</v>
      </c>
      <c r="D23" s="382" t="s">
        <v>651</v>
      </c>
    </row>
    <row r="24" spans="1:14" x14ac:dyDescent="0.25">
      <c r="B24" s="381">
        <v>2</v>
      </c>
      <c r="C24" s="106">
        <v>2009</v>
      </c>
      <c r="D24" s="376">
        <f t="shared" ref="D24:D35" si="0">HLOOKUP($D$20,$B$5:$N$17,B24)</f>
        <v>117.0312</v>
      </c>
    </row>
    <row r="25" spans="1:14" x14ac:dyDescent="0.25">
      <c r="B25" s="381">
        <f t="shared" ref="B25:B33" si="1">B24+1</f>
        <v>3</v>
      </c>
      <c r="C25" s="106">
        <f t="shared" ref="C25:C33" si="2">C24+1</f>
        <v>2010</v>
      </c>
      <c r="D25" s="376">
        <f t="shared" si="0"/>
        <v>113.34839999999998</v>
      </c>
    </row>
    <row r="26" spans="1:14" x14ac:dyDescent="0.25">
      <c r="B26" s="381">
        <f t="shared" si="1"/>
        <v>4</v>
      </c>
      <c r="C26" s="106">
        <f t="shared" si="2"/>
        <v>2011</v>
      </c>
      <c r="D26" s="376">
        <f t="shared" si="0"/>
        <v>107.10809999999999</v>
      </c>
    </row>
    <row r="27" spans="1:14" x14ac:dyDescent="0.25">
      <c r="B27" s="381">
        <f t="shared" si="1"/>
        <v>5</v>
      </c>
      <c r="C27" s="106">
        <f t="shared" si="2"/>
        <v>2012</v>
      </c>
      <c r="D27" s="376">
        <f t="shared" si="0"/>
        <v>104.65289999999999</v>
      </c>
    </row>
    <row r="28" spans="1:14" x14ac:dyDescent="0.25">
      <c r="B28" s="381">
        <f t="shared" si="1"/>
        <v>6</v>
      </c>
      <c r="C28" s="106">
        <f t="shared" si="2"/>
        <v>2013</v>
      </c>
      <c r="D28" s="376">
        <f t="shared" si="0"/>
        <v>102.3</v>
      </c>
    </row>
    <row r="29" spans="1:14" x14ac:dyDescent="0.25">
      <c r="B29" s="381">
        <f t="shared" si="1"/>
        <v>7</v>
      </c>
      <c r="C29" s="106">
        <f t="shared" si="2"/>
        <v>2014</v>
      </c>
      <c r="D29" s="376">
        <f t="shared" si="0"/>
        <v>100</v>
      </c>
    </row>
    <row r="30" spans="1:14" x14ac:dyDescent="0.25">
      <c r="B30" s="381">
        <f t="shared" si="1"/>
        <v>8</v>
      </c>
      <c r="C30" s="106">
        <f t="shared" si="2"/>
        <v>2015</v>
      </c>
      <c r="D30" s="376">
        <f t="shared" si="0"/>
        <v>0</v>
      </c>
    </row>
    <row r="31" spans="1:14" x14ac:dyDescent="0.25">
      <c r="B31" s="381">
        <f t="shared" si="1"/>
        <v>9</v>
      </c>
      <c r="C31" s="106">
        <f t="shared" si="2"/>
        <v>2016</v>
      </c>
      <c r="D31" s="376">
        <f t="shared" si="0"/>
        <v>0</v>
      </c>
    </row>
    <row r="32" spans="1:14" x14ac:dyDescent="0.25">
      <c r="B32" s="381">
        <f t="shared" si="1"/>
        <v>10</v>
      </c>
      <c r="C32" s="106">
        <f t="shared" si="2"/>
        <v>2017</v>
      </c>
      <c r="D32" s="376">
        <f t="shared" si="0"/>
        <v>0</v>
      </c>
    </row>
    <row r="33" spans="2:4" x14ac:dyDescent="0.25">
      <c r="B33" s="381">
        <f t="shared" si="1"/>
        <v>11</v>
      </c>
      <c r="C33" s="106">
        <f t="shared" si="2"/>
        <v>2018</v>
      </c>
      <c r="D33" s="376">
        <f t="shared" si="0"/>
        <v>0</v>
      </c>
    </row>
    <row r="34" spans="2:4" x14ac:dyDescent="0.25">
      <c r="B34" s="381">
        <f>B33+1</f>
        <v>12</v>
      </c>
      <c r="C34" s="106">
        <f>C33+1</f>
        <v>2019</v>
      </c>
      <c r="D34" s="376">
        <f t="shared" si="0"/>
        <v>0</v>
      </c>
    </row>
    <row r="35" spans="2:4" x14ac:dyDescent="0.25">
      <c r="B35" s="381">
        <f>B34+1</f>
        <v>13</v>
      </c>
      <c r="C35" s="106">
        <f>C34+1</f>
        <v>2020</v>
      </c>
      <c r="D35" s="376">
        <f t="shared" si="0"/>
        <v>0</v>
      </c>
    </row>
  </sheetData>
  <pageMargins left="0.70866141732283472" right="0.70866141732283472" top="0.78740157480314965" bottom="0.78740157480314965" header="0.31496062992125984" footer="0.31496062992125984"/>
  <pageSetup paperSize="9" scale="9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filterMode="1">
    <tabColor rgb="FF92D050"/>
  </sheetPr>
  <dimension ref="A1:S123"/>
  <sheetViews>
    <sheetView workbookViewId="0">
      <pane xSplit="4" ySplit="4" topLeftCell="E76" activePane="bottomRight" state="frozen"/>
      <selection activeCell="E82" sqref="E82"/>
      <selection pane="topRight" activeCell="E82" sqref="E82"/>
      <selection pane="bottomLeft" activeCell="E82" sqref="E82"/>
      <selection pane="bottomRight" activeCell="E82" sqref="E82"/>
    </sheetView>
  </sheetViews>
  <sheetFormatPr baseColWidth="10" defaultRowHeight="15" x14ac:dyDescent="0.25"/>
  <cols>
    <col min="1" max="1" width="27.42578125" style="68" bestFit="1" customWidth="1"/>
    <col min="2" max="4" width="11.42578125" style="68"/>
    <col min="5" max="5" width="11.7109375" style="68" bestFit="1" customWidth="1"/>
    <col min="6" max="6" width="12.7109375" style="68" bestFit="1" customWidth="1"/>
    <col min="7" max="7" width="11.5703125" style="68" bestFit="1" customWidth="1"/>
    <col min="8" max="8" width="13" style="68" customWidth="1"/>
    <col min="9" max="14" width="11.5703125" style="68" bestFit="1" customWidth="1"/>
    <col min="15" max="17" width="13.5703125" style="68" bestFit="1" customWidth="1"/>
    <col min="19" max="19" width="13" customWidth="1"/>
  </cols>
  <sheetData>
    <row r="1" spans="1:17" x14ac:dyDescent="0.25">
      <c r="A1" s="102" t="s">
        <v>238</v>
      </c>
      <c r="B1" s="101"/>
      <c r="C1" s="101"/>
      <c r="D1" s="101"/>
      <c r="E1" s="101"/>
      <c r="F1" s="101"/>
      <c r="G1" s="101"/>
      <c r="H1" s="101"/>
      <c r="I1" s="101"/>
      <c r="J1" s="101"/>
      <c r="K1" s="101"/>
      <c r="L1" s="101"/>
      <c r="M1" s="101"/>
      <c r="N1" s="3"/>
      <c r="O1" s="3"/>
      <c r="P1" s="3"/>
      <c r="Q1" s="3"/>
    </row>
    <row r="2" spans="1:17" x14ac:dyDescent="0.25">
      <c r="F2" s="1" t="s">
        <v>204</v>
      </c>
    </row>
    <row r="3" spans="1:17" x14ac:dyDescent="0.25">
      <c r="A3" s="17"/>
      <c r="B3" s="17"/>
      <c r="C3" s="17"/>
      <c r="D3" s="17"/>
      <c r="E3" s="17"/>
      <c r="F3" s="17" t="s">
        <v>205</v>
      </c>
      <c r="G3" s="17"/>
      <c r="H3" s="17"/>
      <c r="I3" s="17" t="s">
        <v>206</v>
      </c>
      <c r="J3" s="17"/>
      <c r="K3" s="17"/>
      <c r="L3" s="17" t="s">
        <v>207</v>
      </c>
      <c r="M3" s="17"/>
      <c r="N3" s="17"/>
      <c r="O3" s="17" t="s">
        <v>208</v>
      </c>
      <c r="P3" s="17"/>
      <c r="Q3" s="17"/>
    </row>
    <row r="4" spans="1:17" x14ac:dyDescent="0.25">
      <c r="A4" s="8"/>
      <c r="B4" s="8" t="s">
        <v>209</v>
      </c>
      <c r="C4" s="8"/>
      <c r="D4" s="8"/>
      <c r="E4" s="8"/>
      <c r="F4" s="8" t="s">
        <v>210</v>
      </c>
      <c r="G4" s="8" t="s">
        <v>211</v>
      </c>
      <c r="H4" s="8" t="s">
        <v>212</v>
      </c>
      <c r="I4" s="8" t="s">
        <v>210</v>
      </c>
      <c r="J4" s="8" t="s">
        <v>211</v>
      </c>
      <c r="K4" s="8" t="s">
        <v>212</v>
      </c>
      <c r="L4" s="8" t="s">
        <v>210</v>
      </c>
      <c r="M4" s="8" t="s">
        <v>211</v>
      </c>
      <c r="N4" s="8" t="s">
        <v>212</v>
      </c>
      <c r="O4" s="8" t="s">
        <v>210</v>
      </c>
      <c r="P4" s="8" t="s">
        <v>211</v>
      </c>
      <c r="Q4" s="8" t="s">
        <v>212</v>
      </c>
    </row>
    <row r="5" spans="1:17" hidden="1" x14ac:dyDescent="0.25">
      <c r="A5" s="1" t="s">
        <v>213</v>
      </c>
      <c r="B5" s="74">
        <v>13.4</v>
      </c>
      <c r="C5" s="68" t="s">
        <v>214</v>
      </c>
      <c r="D5" s="68" t="s">
        <v>215</v>
      </c>
      <c r="F5" s="103">
        <v>1.3627113103866577</v>
      </c>
      <c r="G5" s="103">
        <v>0.92457461357116699</v>
      </c>
      <c r="H5" s="103">
        <v>0.77949333190917969</v>
      </c>
      <c r="I5" s="103">
        <v>6.9020718336105347E-2</v>
      </c>
      <c r="J5" s="103">
        <v>3.9573781192302704E-2</v>
      </c>
      <c r="K5" s="103">
        <v>4.0829800069332123E-2</v>
      </c>
      <c r="L5" s="103">
        <v>5.0029768608510494E-3</v>
      </c>
      <c r="M5" s="103">
        <v>3.7292253691703081E-3</v>
      </c>
      <c r="N5" s="103">
        <v>2.3194835521280766E-3</v>
      </c>
      <c r="O5" s="103">
        <v>395.25454711914062</v>
      </c>
      <c r="P5" s="103">
        <v>229.31460571289062</v>
      </c>
      <c r="Q5" s="103">
        <v>163.28004455566406</v>
      </c>
    </row>
    <row r="6" spans="1:17" hidden="1" x14ac:dyDescent="0.25">
      <c r="B6" s="104">
        <f>2011-B5</f>
        <v>1997.6</v>
      </c>
      <c r="C6" s="68" t="s">
        <v>216</v>
      </c>
      <c r="D6" s="68" t="s">
        <v>217</v>
      </c>
      <c r="F6" s="103">
        <v>1.2209593057632446</v>
      </c>
      <c r="G6" s="103">
        <v>0.70005452632904053</v>
      </c>
      <c r="H6" s="103">
        <v>0.5516277551651001</v>
      </c>
      <c r="I6" s="103">
        <v>6.1047967523336411E-2</v>
      </c>
      <c r="J6" s="103">
        <v>3.2416652888059616E-2</v>
      </c>
      <c r="K6" s="103">
        <v>2.7581389993429184E-2</v>
      </c>
      <c r="L6" s="103">
        <v>4.550000187009573E-3</v>
      </c>
      <c r="M6" s="103">
        <v>3.4000000450760126E-3</v>
      </c>
      <c r="N6" s="103">
        <v>2.099999925121665E-3</v>
      </c>
      <c r="O6" s="103">
        <v>403.15249633789062</v>
      </c>
      <c r="P6" s="103">
        <v>233.896728515625</v>
      </c>
      <c r="Q6" s="103">
        <v>166.54266357421875</v>
      </c>
    </row>
    <row r="7" spans="1:17" hidden="1" x14ac:dyDescent="0.25">
      <c r="B7" s="15"/>
      <c r="C7" s="4" t="s">
        <v>218</v>
      </c>
      <c r="D7" s="4" t="s">
        <v>219</v>
      </c>
      <c r="E7" s="4"/>
      <c r="F7" s="105">
        <v>0.86924397945404053</v>
      </c>
      <c r="G7" s="105">
        <v>0.48756122589111328</v>
      </c>
      <c r="H7" s="105">
        <v>0.21698443591594696</v>
      </c>
      <c r="I7" s="105">
        <v>4.3462201952934265E-2</v>
      </c>
      <c r="J7" s="105">
        <v>2.1763850003480911E-2</v>
      </c>
      <c r="K7" s="105">
        <v>1.0849221609532833E-2</v>
      </c>
      <c r="L7" s="105">
        <v>4.889999981969595E-3</v>
      </c>
      <c r="M7" s="105">
        <v>4.19999985024333E-3</v>
      </c>
      <c r="N7" s="105">
        <v>2.6199999265372753E-3</v>
      </c>
      <c r="O7" s="105">
        <v>371.68862915039062</v>
      </c>
      <c r="P7" s="105">
        <v>215.64236450195312</v>
      </c>
      <c r="Q7" s="105">
        <v>153.544921875</v>
      </c>
    </row>
    <row r="8" spans="1:17" x14ac:dyDescent="0.25">
      <c r="A8" s="1" t="str">
        <f>A5</f>
        <v>Personbiler - bensin</v>
      </c>
      <c r="B8" s="15"/>
      <c r="C8" s="106" t="s">
        <v>220</v>
      </c>
      <c r="D8" s="106" t="s">
        <v>221</v>
      </c>
      <c r="E8" s="106"/>
      <c r="F8" s="107">
        <v>0.16671845316886902</v>
      </c>
      <c r="G8" s="107">
        <v>9.117899090051651E-2</v>
      </c>
      <c r="H8" s="107">
        <v>3.6449998617172241E-2</v>
      </c>
      <c r="I8" s="107">
        <v>8.3802603185176849E-3</v>
      </c>
      <c r="J8" s="107">
        <v>4.0557710453867912E-3</v>
      </c>
      <c r="K8" s="107">
        <v>1.8225000239908695E-3</v>
      </c>
      <c r="L8" s="107">
        <v>2.7799999807029963E-3</v>
      </c>
      <c r="M8" s="107">
        <v>1.9399999873712659E-3</v>
      </c>
      <c r="N8" s="107">
        <v>1.2200000928714871E-3</v>
      </c>
      <c r="O8" s="107">
        <v>360.43310546875</v>
      </c>
      <c r="P8" s="107">
        <v>209.11225891113281</v>
      </c>
      <c r="Q8" s="107">
        <v>148.89524841308594</v>
      </c>
    </row>
    <row r="9" spans="1:17" hidden="1" x14ac:dyDescent="0.25">
      <c r="A9" s="1"/>
      <c r="B9" s="15"/>
      <c r="C9" s="68" t="s">
        <v>222</v>
      </c>
      <c r="D9" s="68" t="s">
        <v>223</v>
      </c>
      <c r="F9" s="103">
        <v>9.5004960894584656E-2</v>
      </c>
      <c r="G9" s="103">
        <v>7.154335081577301E-2</v>
      </c>
      <c r="H9" s="103">
        <v>3.4609999507665634E-2</v>
      </c>
      <c r="I9" s="103">
        <v>5.6768874637782574E-3</v>
      </c>
      <c r="J9" s="103">
        <v>2.9337215237319469E-3</v>
      </c>
      <c r="K9" s="103">
        <v>1.7304999055340886E-3</v>
      </c>
      <c r="L9" s="103">
        <v>1.0400000028312206E-3</v>
      </c>
      <c r="M9" s="103">
        <v>6.6000001970678568E-4</v>
      </c>
      <c r="N9" s="103">
        <v>6.99999975040555E-4</v>
      </c>
      <c r="O9" s="103">
        <v>346.46380615234375</v>
      </c>
      <c r="P9" s="103">
        <v>201.0076904296875</v>
      </c>
      <c r="Q9" s="103">
        <v>143.12452697753906</v>
      </c>
    </row>
    <row r="10" spans="1:17" hidden="1" x14ac:dyDescent="0.25">
      <c r="A10" s="1"/>
      <c r="B10" s="15"/>
      <c r="C10" s="68" t="s">
        <v>224</v>
      </c>
      <c r="D10" s="68" t="s">
        <v>225</v>
      </c>
      <c r="F10" s="103">
        <v>8.7930001318454742E-2</v>
      </c>
      <c r="G10" s="103">
        <v>6.7079998552799225E-2</v>
      </c>
      <c r="H10" s="103">
        <v>3.3819999545812607E-2</v>
      </c>
      <c r="I10" s="103">
        <v>4.3965000659227371E-3</v>
      </c>
      <c r="J10" s="103">
        <v>2.4550000671297312E-3</v>
      </c>
      <c r="K10" s="103">
        <v>1.6910000704228878E-3</v>
      </c>
      <c r="L10" s="103">
        <v>8.699999307282269E-4</v>
      </c>
      <c r="M10" s="103">
        <v>5.6000001495704055E-4</v>
      </c>
      <c r="N10" s="103">
        <v>6.3000002410262823E-4</v>
      </c>
      <c r="O10" s="103">
        <v>321.98199462890625</v>
      </c>
      <c r="P10" s="103">
        <v>186.80409240722656</v>
      </c>
      <c r="Q10" s="103">
        <v>133.01106262207031</v>
      </c>
    </row>
    <row r="11" spans="1:17" hidden="1" x14ac:dyDescent="0.25">
      <c r="A11" s="8"/>
      <c r="B11" s="108"/>
      <c r="C11" s="7" t="s">
        <v>226</v>
      </c>
      <c r="D11" s="7" t="s">
        <v>227</v>
      </c>
      <c r="E11" s="7"/>
      <c r="F11" s="109">
        <v>8.3760000765323639E-2</v>
      </c>
      <c r="G11" s="109">
        <v>6.3440002501010895E-2</v>
      </c>
      <c r="H11" s="109">
        <v>3.1720001250505447E-2</v>
      </c>
      <c r="I11" s="109">
        <v>4.1880002245306969E-3</v>
      </c>
      <c r="J11" s="109">
        <v>2.3250000085681677E-3</v>
      </c>
      <c r="K11" s="109">
        <v>1.5860000858083367E-3</v>
      </c>
      <c r="L11" s="109">
        <v>8.900000830180943E-4</v>
      </c>
      <c r="M11" s="109">
        <v>7.2000001091510057E-4</v>
      </c>
      <c r="N11" s="109">
        <v>4.6000001020729542E-4</v>
      </c>
      <c r="O11" s="109">
        <v>313.520263671875</v>
      </c>
      <c r="P11" s="109">
        <v>181.89486694335937</v>
      </c>
      <c r="Q11" s="109">
        <v>129.51551818847656</v>
      </c>
    </row>
    <row r="12" spans="1:17" hidden="1" x14ac:dyDescent="0.25">
      <c r="A12" s="1" t="s">
        <v>228</v>
      </c>
      <c r="B12" s="74">
        <v>6</v>
      </c>
      <c r="C12" s="68" t="s">
        <v>214</v>
      </c>
      <c r="D12" s="68" t="s">
        <v>215</v>
      </c>
      <c r="F12" s="103">
        <v>1.0281492471694946</v>
      </c>
      <c r="G12" s="103">
        <v>0.72052699327468872</v>
      </c>
      <c r="H12" s="103">
        <v>0.52422833442687988</v>
      </c>
      <c r="I12" s="103">
        <v>8.3033278584480286E-2</v>
      </c>
      <c r="J12" s="103">
        <v>5.8707159012556076E-2</v>
      </c>
      <c r="K12" s="103">
        <v>4.3356362730264664E-2</v>
      </c>
      <c r="L12" s="103">
        <v>0.21852892637252808</v>
      </c>
      <c r="M12" s="103">
        <v>0.12349797785282135</v>
      </c>
      <c r="N12" s="103">
        <v>9.6047408878803253E-2</v>
      </c>
      <c r="O12" s="103">
        <v>296.63320922851563</v>
      </c>
      <c r="P12" s="103">
        <v>182.11631774902344</v>
      </c>
      <c r="Q12" s="103">
        <v>129.69363403320312</v>
      </c>
    </row>
    <row r="13" spans="1:17" hidden="1" x14ac:dyDescent="0.25">
      <c r="A13" s="1"/>
      <c r="B13" s="104">
        <f>2011-B12</f>
        <v>2005</v>
      </c>
      <c r="C13" s="68" t="s">
        <v>216</v>
      </c>
      <c r="D13" s="68" t="s">
        <v>217</v>
      </c>
      <c r="F13" s="103">
        <v>0.94763004779815674</v>
      </c>
      <c r="G13" s="103">
        <v>0.66352003812789917</v>
      </c>
      <c r="H13" s="103">
        <v>0.46724000573158264</v>
      </c>
      <c r="I13" s="103">
        <v>7.5810395181179047E-2</v>
      </c>
      <c r="J13" s="103">
        <v>5.308159813284874E-2</v>
      </c>
      <c r="K13" s="103">
        <v>3.7379197776317596E-2</v>
      </c>
      <c r="L13" s="103">
        <v>0.1788800060749054</v>
      </c>
      <c r="M13" s="103">
        <v>0.11308000981807709</v>
      </c>
      <c r="N13" s="103">
        <v>0.10002999752759933</v>
      </c>
      <c r="O13" s="103">
        <v>257.46786499023437</v>
      </c>
      <c r="P13" s="103">
        <v>158.07096862792969</v>
      </c>
      <c r="Q13" s="103">
        <v>112.56980133056641</v>
      </c>
    </row>
    <row r="14" spans="1:17" hidden="1" x14ac:dyDescent="0.25">
      <c r="A14" s="1"/>
      <c r="C14" s="68" t="s">
        <v>218</v>
      </c>
      <c r="D14" s="68" t="s">
        <v>219</v>
      </c>
      <c r="F14" s="103">
        <v>1.070889949798584</v>
      </c>
      <c r="G14" s="103">
        <v>0.70928996801376343</v>
      </c>
      <c r="H14" s="103">
        <v>0.50891995429992676</v>
      </c>
      <c r="I14" s="103">
        <v>0.11795474588871002</v>
      </c>
      <c r="J14" s="103">
        <v>7.8125797212123871E-2</v>
      </c>
      <c r="K14" s="103">
        <v>5.6055743247270584E-2</v>
      </c>
      <c r="L14" s="103">
        <v>0.14352235198020935</v>
      </c>
      <c r="M14" s="103">
        <v>8.0414518713951111E-2</v>
      </c>
      <c r="N14" s="103">
        <v>7.2496034204959869E-2</v>
      </c>
      <c r="O14" s="103">
        <v>272.70037841796875</v>
      </c>
      <c r="P14" s="103">
        <v>167.42300415039062</v>
      </c>
      <c r="Q14" s="103">
        <v>119.23002624511719</v>
      </c>
    </row>
    <row r="15" spans="1:17" hidden="1" x14ac:dyDescent="0.25">
      <c r="A15" s="1"/>
      <c r="C15" s="68" t="s">
        <v>220</v>
      </c>
      <c r="D15" s="68" t="s">
        <v>221</v>
      </c>
      <c r="F15" s="103">
        <v>0.97344005107879639</v>
      </c>
      <c r="G15" s="103">
        <v>0.70854991674423218</v>
      </c>
      <c r="H15" s="103">
        <v>0.4925999641418457</v>
      </c>
      <c r="I15" s="103">
        <v>0.33859607577323914</v>
      </c>
      <c r="J15" s="103">
        <v>0.24645818769931793</v>
      </c>
      <c r="K15" s="103">
        <v>0.17134331166744232</v>
      </c>
      <c r="L15" s="103">
        <v>5.2272304892539978E-2</v>
      </c>
      <c r="M15" s="103">
        <v>3.7293631583452225E-2</v>
      </c>
      <c r="N15" s="103">
        <v>2.8634244576096535E-2</v>
      </c>
      <c r="O15" s="103">
        <v>283.95916748046875</v>
      </c>
      <c r="P15" s="103">
        <v>174.33515930175781</v>
      </c>
      <c r="Q15" s="103">
        <v>124.15229034423828</v>
      </c>
    </row>
    <row r="16" spans="1:17" x14ac:dyDescent="0.25">
      <c r="A16" s="1" t="str">
        <f>A12</f>
        <v>Personbiler - diesel</v>
      </c>
      <c r="C16" s="106" t="s">
        <v>222</v>
      </c>
      <c r="D16" s="106" t="s">
        <v>223</v>
      </c>
      <c r="E16" s="106"/>
      <c r="F16" s="107">
        <v>1.0107699632644653</v>
      </c>
      <c r="G16" s="107">
        <v>0.52052998542785645</v>
      </c>
      <c r="H16" s="107">
        <v>0.33783000707626343</v>
      </c>
      <c r="I16" s="107">
        <v>0.46348720788955688</v>
      </c>
      <c r="J16" s="107">
        <v>0.23868833482265472</v>
      </c>
      <c r="K16" s="107">
        <v>0.15491150319576263</v>
      </c>
      <c r="L16" s="107">
        <v>3.1384173780679703E-2</v>
      </c>
      <c r="M16" s="107">
        <v>1.733320951461792E-2</v>
      </c>
      <c r="N16" s="107">
        <v>1.2256374582648277E-2</v>
      </c>
      <c r="O16" s="107">
        <v>264.22787475585937</v>
      </c>
      <c r="P16" s="107">
        <v>162.22120666503906</v>
      </c>
      <c r="Q16" s="107">
        <v>115.525390625</v>
      </c>
    </row>
    <row r="17" spans="1:17" hidden="1" x14ac:dyDescent="0.25">
      <c r="A17" s="1"/>
      <c r="C17" s="68" t="s">
        <v>224</v>
      </c>
      <c r="D17" s="68" t="s">
        <v>225</v>
      </c>
      <c r="F17" s="103">
        <v>0.99962997436523438</v>
      </c>
      <c r="G17" s="103">
        <v>0.5234600305557251</v>
      </c>
      <c r="H17" s="103">
        <v>0.33483999967575073</v>
      </c>
      <c r="I17" s="103">
        <v>0.3498704731464386</v>
      </c>
      <c r="J17" s="103">
        <v>0.18321098387241364</v>
      </c>
      <c r="K17" s="103">
        <v>0.11719399690628052</v>
      </c>
      <c r="L17" s="103">
        <v>4.2699999175965786E-3</v>
      </c>
      <c r="M17" s="103">
        <v>1.6599999507889152E-3</v>
      </c>
      <c r="N17" s="103">
        <v>1.0400000028312206E-3</v>
      </c>
      <c r="O17" s="103">
        <v>242.42999267578125</v>
      </c>
      <c r="P17" s="103">
        <v>148.83854675292969</v>
      </c>
      <c r="Q17" s="103">
        <v>105.99495697021484</v>
      </c>
    </row>
    <row r="18" spans="1:17" hidden="1" x14ac:dyDescent="0.25">
      <c r="A18" s="8"/>
      <c r="B18" s="7"/>
      <c r="C18" s="7" t="s">
        <v>226</v>
      </c>
      <c r="D18" s="7" t="s">
        <v>227</v>
      </c>
      <c r="E18" s="7"/>
      <c r="F18" s="109">
        <v>0.35493999719619751</v>
      </c>
      <c r="G18" s="109">
        <v>0.18792001903057098</v>
      </c>
      <c r="H18" s="109">
        <v>0.11893000453710556</v>
      </c>
      <c r="I18" s="109">
        <v>0.10648201406002045</v>
      </c>
      <c r="J18" s="109">
        <v>5.4621003568172455E-2</v>
      </c>
      <c r="K18" s="109">
        <v>3.5679001361131668E-2</v>
      </c>
      <c r="L18" s="109">
        <v>4.2699999175965786E-3</v>
      </c>
      <c r="M18" s="109">
        <v>1.6599999507889152E-3</v>
      </c>
      <c r="N18" s="109">
        <v>1.0400000028312206E-3</v>
      </c>
      <c r="O18" s="109">
        <v>235.05888366699219</v>
      </c>
      <c r="P18" s="109">
        <v>144.31309509277344</v>
      </c>
      <c r="Q18" s="109">
        <v>102.77216339111328</v>
      </c>
    </row>
    <row r="19" spans="1:17" hidden="1" x14ac:dyDescent="0.25">
      <c r="A19" s="1" t="s">
        <v>229</v>
      </c>
      <c r="B19" s="74">
        <v>10.5</v>
      </c>
      <c r="C19" s="68" t="s">
        <v>214</v>
      </c>
      <c r="D19" s="68" t="s">
        <v>215</v>
      </c>
      <c r="F19" s="103">
        <v>23.472021102905273</v>
      </c>
      <c r="G19" s="103">
        <v>14.534084320068359</v>
      </c>
      <c r="H19" s="103">
        <v>10.99063777923584</v>
      </c>
      <c r="I19" s="103">
        <v>1.7097938060760498</v>
      </c>
      <c r="J19" s="103">
        <v>1.0587195158004761</v>
      </c>
      <c r="K19" s="103">
        <v>0.80060100555419922</v>
      </c>
      <c r="L19" s="103">
        <v>1.4800416231155396</v>
      </c>
      <c r="M19" s="103">
        <v>0.74039828777313232</v>
      </c>
      <c r="N19" s="103">
        <v>0.39988100528717041</v>
      </c>
      <c r="O19" s="103">
        <v>1746.113525390625</v>
      </c>
      <c r="P19" s="103">
        <v>1049.8155517578125</v>
      </c>
      <c r="Q19" s="103">
        <v>716.260986328125</v>
      </c>
    </row>
    <row r="20" spans="1:17" hidden="1" x14ac:dyDescent="0.25">
      <c r="A20" s="1"/>
      <c r="B20" s="104">
        <f>2011-B19</f>
        <v>2000.5</v>
      </c>
      <c r="C20" s="68" t="s">
        <v>216</v>
      </c>
      <c r="D20" s="68" t="s">
        <v>230</v>
      </c>
      <c r="F20" s="103">
        <v>15.07715892791748</v>
      </c>
      <c r="G20" s="103">
        <v>9.129176139831543</v>
      </c>
      <c r="H20" s="103">
        <v>6.7970824241638184</v>
      </c>
      <c r="I20" s="103">
        <v>1.0982792377471924</v>
      </c>
      <c r="J20" s="103">
        <v>0.66500496864318848</v>
      </c>
      <c r="K20" s="103">
        <v>0.49512606859207153</v>
      </c>
      <c r="L20" s="103">
        <v>0.64644718170166016</v>
      </c>
      <c r="M20" s="103">
        <v>0.37006348371505737</v>
      </c>
      <c r="N20" s="103">
        <v>0.2235710620880127</v>
      </c>
      <c r="O20" s="103">
        <v>1427.2403564453125</v>
      </c>
      <c r="P20" s="103">
        <v>852.19622802734375</v>
      </c>
      <c r="Q20" s="103">
        <v>620.38360595703125</v>
      </c>
    </row>
    <row r="21" spans="1:17" hidden="1" x14ac:dyDescent="0.25">
      <c r="A21" s="1"/>
      <c r="C21" s="68" t="s">
        <v>218</v>
      </c>
      <c r="D21" s="68" t="s">
        <v>231</v>
      </c>
      <c r="F21" s="103">
        <v>16.514331817626953</v>
      </c>
      <c r="G21" s="103">
        <v>9.9666175842285156</v>
      </c>
      <c r="H21" s="103">
        <v>7.1976470947265625</v>
      </c>
      <c r="I21" s="103">
        <v>1.1772711277008057</v>
      </c>
      <c r="J21" s="103">
        <v>0.71049875020980835</v>
      </c>
      <c r="K21" s="103">
        <v>0.51310479640960693</v>
      </c>
      <c r="L21" s="103">
        <v>0.31667500734329224</v>
      </c>
      <c r="M21" s="103">
        <v>0.18597646057605743</v>
      </c>
      <c r="N21" s="103">
        <v>0.11994417756795883</v>
      </c>
      <c r="O21" s="103">
        <v>1356.5184326171875</v>
      </c>
      <c r="P21" s="103">
        <v>830.384033203125</v>
      </c>
      <c r="Q21" s="103">
        <v>617.1051025390625</v>
      </c>
    </row>
    <row r="22" spans="1:17" x14ac:dyDescent="0.25">
      <c r="A22" s="1" t="str">
        <f>A19</f>
        <v>Bybuss - diesel</v>
      </c>
      <c r="C22" s="106" t="s">
        <v>220</v>
      </c>
      <c r="D22" s="106" t="s">
        <v>232</v>
      </c>
      <c r="E22" s="106"/>
      <c r="F22" s="107">
        <v>16.441600799560547</v>
      </c>
      <c r="G22" s="107">
        <v>8.3447198867797852</v>
      </c>
      <c r="H22" s="107">
        <v>5.5079631805419922</v>
      </c>
      <c r="I22" s="107">
        <v>1.1678503751754761</v>
      </c>
      <c r="J22" s="107">
        <v>0.59272724390029907</v>
      </c>
      <c r="K22" s="107">
        <v>0.39123174548149109</v>
      </c>
      <c r="L22" s="107">
        <v>0.29985788464546204</v>
      </c>
      <c r="M22" s="107">
        <v>0.19640746712684631</v>
      </c>
      <c r="N22" s="107">
        <v>0.11022823303937912</v>
      </c>
      <c r="O22" s="107">
        <v>1420.8663330078125</v>
      </c>
      <c r="P22" s="107">
        <v>880.60333251953125</v>
      </c>
      <c r="Q22" s="107">
        <v>640.7647705078125</v>
      </c>
    </row>
    <row r="23" spans="1:17" hidden="1" x14ac:dyDescent="0.25">
      <c r="A23" s="1"/>
      <c r="C23" s="68" t="s">
        <v>222</v>
      </c>
      <c r="D23" s="68" t="s">
        <v>233</v>
      </c>
      <c r="F23" s="103">
        <v>12.866442680358887</v>
      </c>
      <c r="G23" s="103">
        <v>7.3868069648742676</v>
      </c>
      <c r="H23" s="103">
        <v>3.7298588752746582</v>
      </c>
      <c r="I23" s="103">
        <v>1.5350265502929687</v>
      </c>
      <c r="J23" s="103">
        <v>0.88452631235122681</v>
      </c>
      <c r="K23" s="103">
        <v>0.48424842953681946</v>
      </c>
      <c r="L23" s="103">
        <v>6.9588571786880493E-2</v>
      </c>
      <c r="M23" s="103">
        <v>3.3485084772109985E-2</v>
      </c>
      <c r="N23" s="103">
        <v>2.0246801897883415E-2</v>
      </c>
      <c r="O23" s="103">
        <v>1187.4547119140625</v>
      </c>
      <c r="P23" s="103">
        <v>796.84613037109375</v>
      </c>
      <c r="Q23" s="103">
        <v>627.3177490234375</v>
      </c>
    </row>
    <row r="24" spans="1:17" hidden="1" x14ac:dyDescent="0.25">
      <c r="A24" s="1"/>
      <c r="C24" s="68" t="s">
        <v>224</v>
      </c>
      <c r="D24" s="68" t="s">
        <v>234</v>
      </c>
      <c r="F24" s="103">
        <v>10.507299423217773</v>
      </c>
      <c r="G24" s="103">
        <v>5.936255931854248</v>
      </c>
      <c r="H24" s="103">
        <v>2.4446802139282227</v>
      </c>
      <c r="I24" s="103">
        <v>2.5302815437316895</v>
      </c>
      <c r="J24" s="103">
        <v>1.4297451972961426</v>
      </c>
      <c r="K24" s="103">
        <v>0.59085685014724731</v>
      </c>
      <c r="L24" s="103">
        <v>8.2781212404370308E-3</v>
      </c>
      <c r="M24" s="103">
        <v>4.057019017636776E-3</v>
      </c>
      <c r="N24" s="103">
        <v>2.4643847718834877E-3</v>
      </c>
      <c r="O24" s="103">
        <v>1215.04443359375</v>
      </c>
      <c r="P24" s="103">
        <v>815.47265625</v>
      </c>
      <c r="Q24" s="103">
        <v>639.09051513671875</v>
      </c>
    </row>
    <row r="25" spans="1:17" hidden="1" x14ac:dyDescent="0.25">
      <c r="A25" s="8"/>
      <c r="B25" s="7"/>
      <c r="C25" s="7" t="s">
        <v>226</v>
      </c>
      <c r="D25" s="7" t="s">
        <v>235</v>
      </c>
      <c r="E25" s="7"/>
      <c r="F25" s="109">
        <v>1.2692475318908691</v>
      </c>
      <c r="G25" s="109">
        <v>0.61997586488723755</v>
      </c>
      <c r="H25" s="109">
        <v>0.206889808177948</v>
      </c>
      <c r="I25" s="109">
        <v>0.35538932681083679</v>
      </c>
      <c r="J25" s="109">
        <v>0.17359323799610138</v>
      </c>
      <c r="K25" s="109">
        <v>5.7929147034883499E-2</v>
      </c>
      <c r="L25" s="109">
        <v>7.4902013875544071E-3</v>
      </c>
      <c r="M25" s="109">
        <v>4.607081413269043E-3</v>
      </c>
      <c r="N25" s="109">
        <v>2.9621634166687727E-3</v>
      </c>
      <c r="O25" s="109">
        <v>1222.9510498046875</v>
      </c>
      <c r="P25" s="109">
        <v>823.7142333984375</v>
      </c>
      <c r="Q25" s="109">
        <v>636.39404296875</v>
      </c>
    </row>
    <row r="26" spans="1:17" hidden="1" x14ac:dyDescent="0.25">
      <c r="A26" s="1" t="s">
        <v>236</v>
      </c>
      <c r="B26" s="74">
        <v>11.1</v>
      </c>
      <c r="C26" s="68" t="s">
        <v>214</v>
      </c>
      <c r="D26" s="68" t="s">
        <v>215</v>
      </c>
      <c r="F26" s="103">
        <v>16.503944396972656</v>
      </c>
      <c r="G26" s="103">
        <v>10.937543869018555</v>
      </c>
      <c r="H26" s="103">
        <v>8.6599493026733398</v>
      </c>
      <c r="I26" s="103">
        <v>1.202211856842041</v>
      </c>
      <c r="J26" s="103">
        <v>0.796733558177948</v>
      </c>
      <c r="K26" s="103">
        <v>0.54703134298324585</v>
      </c>
      <c r="L26" s="103">
        <v>0.90877759456634521</v>
      </c>
      <c r="M26" s="103">
        <v>0.51805716753005981</v>
      </c>
      <c r="N26" s="103">
        <v>0.32943812012672424</v>
      </c>
      <c r="O26" s="103">
        <v>1383.8115234375</v>
      </c>
      <c r="P26" s="103">
        <v>857.77593994140625</v>
      </c>
      <c r="Q26" s="103">
        <v>552.08740234375</v>
      </c>
    </row>
    <row r="27" spans="1:17" hidden="1" x14ac:dyDescent="0.25">
      <c r="A27" s="1"/>
      <c r="B27" s="104">
        <f>2011-B26</f>
        <v>1999.9</v>
      </c>
      <c r="C27" s="68" t="s">
        <v>216</v>
      </c>
      <c r="D27" s="68" t="s">
        <v>217</v>
      </c>
      <c r="F27" s="103">
        <v>11.924925804138184</v>
      </c>
      <c r="G27" s="103">
        <v>7.795097827911377</v>
      </c>
      <c r="H27" s="103">
        <v>6.1103558540344238</v>
      </c>
      <c r="I27" s="103">
        <v>0.86865818500518799</v>
      </c>
      <c r="J27" s="103">
        <v>0.56782537698745728</v>
      </c>
      <c r="K27" s="103">
        <v>0.38061842322349548</v>
      </c>
      <c r="L27" s="103">
        <v>0.64340722560882568</v>
      </c>
      <c r="M27" s="103">
        <v>0.35816088318824768</v>
      </c>
      <c r="N27" s="103">
        <v>0.22526365518569946</v>
      </c>
      <c r="O27" s="103">
        <v>1203.5784912109375</v>
      </c>
      <c r="P27" s="103">
        <v>743.93499755859375</v>
      </c>
      <c r="Q27" s="103">
        <v>510.04702758789062</v>
      </c>
    </row>
    <row r="28" spans="1:17" hidden="1" x14ac:dyDescent="0.25">
      <c r="A28" s="1"/>
      <c r="C28" s="68" t="s">
        <v>218</v>
      </c>
      <c r="D28" s="68" t="s">
        <v>219</v>
      </c>
      <c r="F28" s="103">
        <v>15.54695987701416</v>
      </c>
      <c r="G28" s="103">
        <v>10.019219398498535</v>
      </c>
      <c r="H28" s="103">
        <v>7.5363178253173828</v>
      </c>
      <c r="I28" s="103">
        <v>1.1083093881607056</v>
      </c>
      <c r="J28" s="103">
        <v>0.71424871683120728</v>
      </c>
      <c r="K28" s="103">
        <v>0.46003398299217224</v>
      </c>
      <c r="L28" s="103">
        <v>0.31288972496986389</v>
      </c>
      <c r="M28" s="103">
        <v>0.18737588822841644</v>
      </c>
      <c r="N28" s="103">
        <v>0.18658833205699921</v>
      </c>
      <c r="O28" s="103">
        <v>1357.098876953125</v>
      </c>
      <c r="P28" s="103">
        <v>845.97882080078125</v>
      </c>
      <c r="Q28" s="103">
        <v>568.73565673828125</v>
      </c>
    </row>
    <row r="29" spans="1:17" x14ac:dyDescent="0.25">
      <c r="A29" s="1" t="str">
        <f>A26</f>
        <v>Lastebil, tung</v>
      </c>
      <c r="C29" s="106" t="s">
        <v>220</v>
      </c>
      <c r="D29" s="106" t="s">
        <v>221</v>
      </c>
      <c r="E29" s="106"/>
      <c r="F29" s="107">
        <v>14.229231834411621</v>
      </c>
      <c r="G29" s="107">
        <v>8.8359909057617188</v>
      </c>
      <c r="H29" s="107">
        <v>6.5013022422790527</v>
      </c>
      <c r="I29" s="107">
        <v>1.0107053518295288</v>
      </c>
      <c r="J29" s="107">
        <v>0.62762236595153809</v>
      </c>
      <c r="K29" s="107">
        <v>0.42194584012031555</v>
      </c>
      <c r="L29" s="107">
        <v>0.40613001585006714</v>
      </c>
      <c r="M29" s="107">
        <v>0.22451341152191162</v>
      </c>
      <c r="N29" s="107">
        <v>0.13388089835643768</v>
      </c>
      <c r="O29" s="107">
        <v>1556.4896240234375</v>
      </c>
      <c r="P29" s="107">
        <v>963.25128173828125</v>
      </c>
      <c r="Q29" s="107">
        <v>618.5982666015625</v>
      </c>
    </row>
    <row r="30" spans="1:17" hidden="1" x14ac:dyDescent="0.25">
      <c r="A30" s="1"/>
      <c r="C30" s="68" t="s">
        <v>222</v>
      </c>
      <c r="D30" s="68" t="s">
        <v>223</v>
      </c>
      <c r="F30" s="103">
        <v>13.91530704498291</v>
      </c>
      <c r="G30" s="103">
        <v>7.4256200790405273</v>
      </c>
      <c r="H30" s="103">
        <v>3.7191777229309082</v>
      </c>
      <c r="I30" s="103">
        <v>1.2820419073104858</v>
      </c>
      <c r="J30" s="103">
        <v>0.72204428911209106</v>
      </c>
      <c r="K30" s="103">
        <v>0.34912118315696716</v>
      </c>
      <c r="L30" s="103">
        <v>0.10024847090244293</v>
      </c>
      <c r="M30" s="103">
        <v>4.2393971234560013E-2</v>
      </c>
      <c r="N30" s="103">
        <v>3.3169638365507126E-2</v>
      </c>
      <c r="O30" s="103">
        <v>1368.228271484375</v>
      </c>
      <c r="P30" s="103">
        <v>880.11480712890625</v>
      </c>
      <c r="Q30" s="103">
        <v>578.609130859375</v>
      </c>
    </row>
    <row r="31" spans="1:17" hidden="1" x14ac:dyDescent="0.25">
      <c r="A31" s="1"/>
      <c r="C31" s="68" t="s">
        <v>224</v>
      </c>
      <c r="D31" s="68" t="s">
        <v>225</v>
      </c>
      <c r="F31" s="103">
        <v>10.494996070861816</v>
      </c>
      <c r="G31" s="103">
        <v>5.3357410430908203</v>
      </c>
      <c r="H31" s="103">
        <v>2.2492978572845459</v>
      </c>
      <c r="I31" s="103">
        <v>0.89934241771697998</v>
      </c>
      <c r="J31" s="103">
        <v>0.48119333386421204</v>
      </c>
      <c r="K31" s="103">
        <v>0.2042977511882782</v>
      </c>
      <c r="L31" s="103">
        <v>9.0403288602828979E-2</v>
      </c>
      <c r="M31" s="103">
        <v>3.8467835634946823E-2</v>
      </c>
      <c r="N31" s="103">
        <v>2.9656410217285156E-2</v>
      </c>
      <c r="O31" s="103">
        <v>1234.9246826171875</v>
      </c>
      <c r="P31" s="103">
        <v>796.1988525390625</v>
      </c>
      <c r="Q31" s="103">
        <v>531.934326171875</v>
      </c>
    </row>
    <row r="32" spans="1:17" hidden="1" x14ac:dyDescent="0.25">
      <c r="A32" s="8"/>
      <c r="B32" s="7"/>
      <c r="C32" s="7" t="s">
        <v>226</v>
      </c>
      <c r="D32" s="7" t="s">
        <v>227</v>
      </c>
      <c r="E32" s="7"/>
      <c r="F32" s="109">
        <v>1.9159703254699707</v>
      </c>
      <c r="G32" s="109">
        <v>0.77942043542861938</v>
      </c>
      <c r="H32" s="109">
        <v>0.2397078275680542</v>
      </c>
      <c r="I32" s="109">
        <v>0.5364716649055481</v>
      </c>
      <c r="J32" s="109">
        <v>0.21823772788047791</v>
      </c>
      <c r="K32" s="109">
        <v>5.2982650697231293E-2</v>
      </c>
      <c r="L32" s="109">
        <v>6.8858941085636616E-3</v>
      </c>
      <c r="M32" s="109">
        <v>3.9919358678162098E-3</v>
      </c>
      <c r="N32" s="109">
        <v>2.6549661997705698E-3</v>
      </c>
      <c r="O32" s="109">
        <v>1243.0125732421875</v>
      </c>
      <c r="P32" s="109">
        <v>798.4217529296875</v>
      </c>
      <c r="Q32" s="109">
        <v>533.76739501953125</v>
      </c>
    </row>
    <row r="33" spans="1:17" hidden="1" x14ac:dyDescent="0.25">
      <c r="A33" s="1" t="s">
        <v>237</v>
      </c>
      <c r="B33" s="74">
        <v>11.1</v>
      </c>
      <c r="C33" s="68" t="s">
        <v>214</v>
      </c>
      <c r="D33" s="68" t="s">
        <v>215</v>
      </c>
      <c r="F33" s="103">
        <v>1.6238009929656982</v>
      </c>
      <c r="G33" s="103">
        <v>1.4088361263275146</v>
      </c>
      <c r="H33" s="103">
        <v>1.1937332153320313</v>
      </c>
      <c r="I33" s="103">
        <v>0.12990407645702362</v>
      </c>
      <c r="J33" s="103">
        <v>0.11270688474178314</v>
      </c>
      <c r="K33" s="103">
        <v>9.5498666167259216E-2</v>
      </c>
      <c r="L33" s="103">
        <v>0.52212280035018921</v>
      </c>
      <c r="M33" s="103">
        <v>0.33284911513328552</v>
      </c>
      <c r="N33" s="103">
        <v>0.26656237244606018</v>
      </c>
      <c r="O33" s="103">
        <v>292.86563110351562</v>
      </c>
      <c r="P33" s="103">
        <v>230.04385375976562</v>
      </c>
      <c r="Q33" s="103">
        <v>194.33900451660156</v>
      </c>
    </row>
    <row r="34" spans="1:17" hidden="1" x14ac:dyDescent="0.25">
      <c r="A34" s="1"/>
      <c r="B34" s="104">
        <f>2011-B33</f>
        <v>1999.9</v>
      </c>
      <c r="C34" s="68" t="s">
        <v>216</v>
      </c>
      <c r="D34" s="68" t="s">
        <v>217</v>
      </c>
      <c r="F34" s="103">
        <v>1.4670336246490479</v>
      </c>
      <c r="G34" s="103">
        <v>1.2635762691497803</v>
      </c>
      <c r="H34" s="103">
        <v>1.0514414310455322</v>
      </c>
      <c r="I34" s="103">
        <v>0.11736268550157547</v>
      </c>
      <c r="J34" s="103">
        <v>0.10108610987663269</v>
      </c>
      <c r="K34" s="103">
        <v>8.4115311503410339E-2</v>
      </c>
      <c r="L34" s="103">
        <v>0.25568526983261108</v>
      </c>
      <c r="M34" s="103">
        <v>0.16511739790439606</v>
      </c>
      <c r="N34" s="103">
        <v>0.13718438148498535</v>
      </c>
      <c r="O34" s="103">
        <v>287.40731811523437</v>
      </c>
      <c r="P34" s="103">
        <v>224.03776550292969</v>
      </c>
      <c r="Q34" s="103">
        <v>186.79449462890625</v>
      </c>
    </row>
    <row r="35" spans="1:17" hidden="1" x14ac:dyDescent="0.25">
      <c r="A35" s="1"/>
      <c r="C35" s="68" t="s">
        <v>218</v>
      </c>
      <c r="D35" s="68" t="s">
        <v>219</v>
      </c>
      <c r="F35" s="103">
        <v>1.3279973268508911</v>
      </c>
      <c r="G35" s="103">
        <v>1.1291800737380981</v>
      </c>
      <c r="H35" s="103">
        <v>0.90020579099655151</v>
      </c>
      <c r="I35" s="103">
        <v>0.14607970416545868</v>
      </c>
      <c r="J35" s="103">
        <v>0.12420981377363205</v>
      </c>
      <c r="K35" s="103">
        <v>9.9022634327411652E-2</v>
      </c>
      <c r="L35" s="103">
        <v>0.16885876655578613</v>
      </c>
      <c r="M35" s="103">
        <v>0.10678739100694656</v>
      </c>
      <c r="N35" s="103">
        <v>8.4220997989177704E-2</v>
      </c>
      <c r="O35" s="103">
        <v>278.5091552734375</v>
      </c>
      <c r="P35" s="103">
        <v>216.19285583496094</v>
      </c>
      <c r="Q35" s="103">
        <v>176.81309509277344</v>
      </c>
    </row>
    <row r="36" spans="1:17" x14ac:dyDescent="0.25">
      <c r="A36" s="1" t="str">
        <f>A33</f>
        <v>Lastebil, lett</v>
      </c>
      <c r="C36" s="106" t="s">
        <v>220</v>
      </c>
      <c r="D36" s="106" t="s">
        <v>221</v>
      </c>
      <c r="E36" s="106"/>
      <c r="F36" s="107">
        <v>1.0984424352645874</v>
      </c>
      <c r="G36" s="107">
        <v>1.018825888633728</v>
      </c>
      <c r="H36" s="107">
        <v>0.7571418285369873</v>
      </c>
      <c r="I36" s="107">
        <v>0.38373643159866333</v>
      </c>
      <c r="J36" s="107">
        <v>0.35591462254524231</v>
      </c>
      <c r="K36" s="107">
        <v>0.26448747515678406</v>
      </c>
      <c r="L36" s="107">
        <v>6.6187635064125061E-2</v>
      </c>
      <c r="M36" s="107">
        <v>4.8727985471487045E-2</v>
      </c>
      <c r="N36" s="107">
        <v>3.794555738568306E-2</v>
      </c>
      <c r="O36" s="107">
        <v>289.02194213867187</v>
      </c>
      <c r="P36" s="107">
        <v>205.46977233886719</v>
      </c>
      <c r="Q36" s="107">
        <v>157.04595947265625</v>
      </c>
    </row>
    <row r="37" spans="1:17" hidden="1" x14ac:dyDescent="0.25">
      <c r="C37" s="68" t="s">
        <v>222</v>
      </c>
      <c r="D37" s="68" t="s">
        <v>223</v>
      </c>
      <c r="F37" s="103">
        <v>0.8475881814956665</v>
      </c>
      <c r="G37" s="103">
        <v>0.65940999984741211</v>
      </c>
      <c r="H37" s="103">
        <v>0.62709146738052368</v>
      </c>
      <c r="I37" s="103">
        <v>0.37373760342597961</v>
      </c>
      <c r="J37" s="103">
        <v>0.291197270154953</v>
      </c>
      <c r="K37" s="103">
        <v>0.27690577507019043</v>
      </c>
      <c r="L37" s="103">
        <v>5.2246645092964172E-2</v>
      </c>
      <c r="M37" s="103">
        <v>2.9170587658882141E-2</v>
      </c>
      <c r="N37" s="103">
        <v>2.8774229809641838E-2</v>
      </c>
      <c r="O37" s="103">
        <v>311.03280639648437</v>
      </c>
      <c r="P37" s="103">
        <v>211.66647338867187</v>
      </c>
      <c r="Q37" s="103">
        <v>174.293212890625</v>
      </c>
    </row>
    <row r="38" spans="1:17" hidden="1" x14ac:dyDescent="0.25">
      <c r="C38" s="68" t="s">
        <v>224</v>
      </c>
      <c r="D38" s="68" t="s">
        <v>225</v>
      </c>
      <c r="F38" s="103">
        <v>0.85619145631790161</v>
      </c>
      <c r="G38" s="103">
        <v>0.61959344148635864</v>
      </c>
      <c r="H38" s="103">
        <v>0.57640820741653442</v>
      </c>
      <c r="I38" s="103">
        <v>0.29966703057289124</v>
      </c>
      <c r="J38" s="103">
        <v>0.21685770153999329</v>
      </c>
      <c r="K38" s="103">
        <v>0.20174288749694824</v>
      </c>
      <c r="L38" s="103">
        <v>4.9816002137959003E-3</v>
      </c>
      <c r="M38" s="103">
        <v>2.135684248059988E-3</v>
      </c>
      <c r="N38" s="103">
        <v>1.5145178185775876E-3</v>
      </c>
      <c r="O38" s="103">
        <v>305.33102416992187</v>
      </c>
      <c r="P38" s="103">
        <v>199.83816528320312</v>
      </c>
      <c r="Q38" s="103">
        <v>166.7518310546875</v>
      </c>
    </row>
    <row r="39" spans="1:17" hidden="1" x14ac:dyDescent="0.25">
      <c r="C39" s="68" t="s">
        <v>226</v>
      </c>
      <c r="D39" s="68" t="s">
        <v>227</v>
      </c>
      <c r="F39" s="103">
        <v>0.30416521430015564</v>
      </c>
      <c r="G39" s="103">
        <v>0.22102904319763184</v>
      </c>
      <c r="H39" s="103">
        <v>0.18588681519031525</v>
      </c>
      <c r="I39" s="103">
        <v>9.1249570250511169E-2</v>
      </c>
      <c r="J39" s="103">
        <v>6.630871444940567E-2</v>
      </c>
      <c r="K39" s="103">
        <v>5.5766046047210693E-2</v>
      </c>
      <c r="L39" s="103">
        <v>4.4729476794600487E-3</v>
      </c>
      <c r="M39" s="103">
        <v>1.8886325415223837E-3</v>
      </c>
      <c r="N39" s="103">
        <v>1.4740207698196173E-3</v>
      </c>
      <c r="O39" s="103">
        <v>294.9202880859375</v>
      </c>
      <c r="P39" s="103">
        <v>191.32183837890625</v>
      </c>
      <c r="Q39" s="103">
        <v>149.97183227539062</v>
      </c>
    </row>
    <row r="40" spans="1:17" s="68" customFormat="1" x14ac:dyDescent="0.25">
      <c r="F40" s="125" t="s">
        <v>253</v>
      </c>
      <c r="G40" s="103"/>
      <c r="H40" s="103"/>
      <c r="I40" s="103"/>
      <c r="J40" s="103"/>
      <c r="K40" s="103"/>
      <c r="L40" s="103"/>
      <c r="M40" s="103"/>
      <c r="N40" s="103"/>
      <c r="O40" s="103"/>
      <c r="P40" s="103"/>
      <c r="Q40" s="103"/>
    </row>
    <row r="41" spans="1:17" x14ac:dyDescent="0.25">
      <c r="E41" s="1" t="s">
        <v>259</v>
      </c>
    </row>
    <row r="42" spans="1:17" s="68" customFormat="1" x14ac:dyDescent="0.25">
      <c r="A42" s="1" t="s">
        <v>252</v>
      </c>
      <c r="D42" s="114" t="s">
        <v>254</v>
      </c>
      <c r="E42" s="1"/>
      <c r="F42" s="126">
        <f>E112</f>
        <v>0.4</v>
      </c>
      <c r="G42" s="126">
        <f>E113</f>
        <v>0.6</v>
      </c>
      <c r="H42" s="126">
        <f>E114</f>
        <v>0</v>
      </c>
      <c r="I42" s="126">
        <f>F42</f>
        <v>0.4</v>
      </c>
      <c r="J42" s="126">
        <f t="shared" ref="J42:Q42" si="0">G42</f>
        <v>0.6</v>
      </c>
      <c r="K42" s="126">
        <f t="shared" si="0"/>
        <v>0</v>
      </c>
      <c r="L42" s="126">
        <f t="shared" si="0"/>
        <v>0.4</v>
      </c>
      <c r="M42" s="126">
        <f t="shared" si="0"/>
        <v>0.6</v>
      </c>
      <c r="N42" s="126">
        <f t="shared" si="0"/>
        <v>0</v>
      </c>
      <c r="O42" s="126">
        <f t="shared" si="0"/>
        <v>0.4</v>
      </c>
      <c r="P42" s="126">
        <f t="shared" si="0"/>
        <v>0.6</v>
      </c>
      <c r="Q42" s="126">
        <f t="shared" si="0"/>
        <v>0</v>
      </c>
    </row>
    <row r="43" spans="1:17" x14ac:dyDescent="0.25">
      <c r="A43" s="1"/>
      <c r="D43" s="114" t="s">
        <v>213</v>
      </c>
      <c r="E43" s="13">
        <f>D96*B97*365*D108*D100</f>
        <v>14454000</v>
      </c>
      <c r="F43" s="13">
        <f>$E43*F42*F$8</f>
        <v>963899.40884113312</v>
      </c>
      <c r="G43" s="13">
        <f t="shared" ref="G43:Q43" si="1">$E43*G$42*G$8</f>
        <v>790740.68068563938</v>
      </c>
      <c r="H43" s="13">
        <f t="shared" si="1"/>
        <v>0</v>
      </c>
      <c r="I43" s="13">
        <f t="shared" si="1"/>
        <v>48451.313057541847</v>
      </c>
      <c r="J43" s="13">
        <f t="shared" si="1"/>
        <v>35173.268814012408</v>
      </c>
      <c r="K43" s="13">
        <f t="shared" si="1"/>
        <v>0</v>
      </c>
      <c r="L43" s="13">
        <f t="shared" si="1"/>
        <v>16072.847888432443</v>
      </c>
      <c r="M43" s="13">
        <f t="shared" si="1"/>
        <v>16824.455890478566</v>
      </c>
      <c r="N43" s="13">
        <f t="shared" si="1"/>
        <v>0</v>
      </c>
      <c r="O43" s="13">
        <f t="shared" si="1"/>
        <v>2083880042.578125</v>
      </c>
      <c r="P43" s="13">
        <f t="shared" si="1"/>
        <v>1813505154.1809082</v>
      </c>
      <c r="Q43" s="13">
        <f t="shared" si="1"/>
        <v>0</v>
      </c>
    </row>
    <row r="44" spans="1:17" x14ac:dyDescent="0.25">
      <c r="D44" s="114" t="s">
        <v>228</v>
      </c>
      <c r="E44" s="13">
        <f>D96*B97*365*D108*D101</f>
        <v>9636000.0000000019</v>
      </c>
      <c r="F44" s="13">
        <f>$E44*F42*F$16</f>
        <v>3895911.7464065561</v>
      </c>
      <c r="G44" s="13">
        <f t="shared" ref="G44:Q44" si="2">$E44*G$42*G$16</f>
        <v>3009496.1637496953</v>
      </c>
      <c r="H44" s="13">
        <f t="shared" si="2"/>
        <v>0</v>
      </c>
      <c r="I44" s="13">
        <f t="shared" si="2"/>
        <v>1786465.0940895085</v>
      </c>
      <c r="J44" s="13">
        <f t="shared" si="2"/>
        <v>1380000.4766106608</v>
      </c>
      <c r="K44" s="13">
        <f t="shared" si="2"/>
        <v>0</v>
      </c>
      <c r="L44" s="13">
        <f t="shared" si="2"/>
        <v>120967.15942025188</v>
      </c>
      <c r="M44" s="13">
        <f t="shared" si="2"/>
        <v>100213.68412971498</v>
      </c>
      <c r="N44" s="13">
        <f t="shared" si="2"/>
        <v>0</v>
      </c>
      <c r="O44" s="13">
        <f t="shared" si="2"/>
        <v>1018439920.4589846</v>
      </c>
      <c r="P44" s="13">
        <f t="shared" si="2"/>
        <v>937898128.45458996</v>
      </c>
      <c r="Q44" s="13">
        <f t="shared" si="2"/>
        <v>0</v>
      </c>
    </row>
    <row r="45" spans="1:17" x14ac:dyDescent="0.25">
      <c r="D45" s="114" t="s">
        <v>241</v>
      </c>
      <c r="E45" s="13">
        <f>D96*B97*365*D108*D105</f>
        <v>328500</v>
      </c>
      <c r="F45" s="13">
        <f>$E45*F42*F$8</f>
        <v>21906.804746389389</v>
      </c>
      <c r="G45" s="13">
        <f t="shared" ref="G45:Q45" si="3">$E45*G$42*G$8</f>
        <v>17971.379106491804</v>
      </c>
      <c r="H45" s="13">
        <f t="shared" si="3"/>
        <v>0</v>
      </c>
      <c r="I45" s="13">
        <f t="shared" si="3"/>
        <v>1101.1662058532238</v>
      </c>
      <c r="J45" s="13">
        <f t="shared" si="3"/>
        <v>799.39247304573655</v>
      </c>
      <c r="K45" s="13">
        <f t="shared" si="3"/>
        <v>0</v>
      </c>
      <c r="L45" s="13">
        <f t="shared" si="3"/>
        <v>365.29199746437371</v>
      </c>
      <c r="M45" s="13">
        <f t="shared" si="3"/>
        <v>382.37399751087651</v>
      </c>
      <c r="N45" s="13">
        <f t="shared" si="3"/>
        <v>0</v>
      </c>
      <c r="O45" s="13">
        <f t="shared" si="3"/>
        <v>47360910.05859375</v>
      </c>
      <c r="P45" s="13">
        <f t="shared" si="3"/>
        <v>41216026.231384277</v>
      </c>
      <c r="Q45" s="13">
        <f t="shared" si="3"/>
        <v>0</v>
      </c>
    </row>
    <row r="46" spans="1:17" x14ac:dyDescent="0.25">
      <c r="D46" s="114" t="s">
        <v>229</v>
      </c>
      <c r="E46" s="13">
        <f>D96*B97*365*D108*D106</f>
        <v>219000</v>
      </c>
      <c r="F46" s="13">
        <f>$E46*F42*F$22</f>
        <v>1440284.2300415039</v>
      </c>
      <c r="G46" s="13">
        <f t="shared" ref="G46:Q46" si="4">$E46*G$42*G$22</f>
        <v>1096496.1931228638</v>
      </c>
      <c r="H46" s="13">
        <f t="shared" si="4"/>
        <v>0</v>
      </c>
      <c r="I46" s="13">
        <f t="shared" si="4"/>
        <v>102303.6928653717</v>
      </c>
      <c r="J46" s="13">
        <f t="shared" si="4"/>
        <v>77884.359848499298</v>
      </c>
      <c r="K46" s="13">
        <f t="shared" si="4"/>
        <v>0</v>
      </c>
      <c r="L46" s="13">
        <f t="shared" si="4"/>
        <v>26267.550694942474</v>
      </c>
      <c r="M46" s="13">
        <f t="shared" si="4"/>
        <v>25807.941180467606</v>
      </c>
      <c r="N46" s="13">
        <f t="shared" si="4"/>
        <v>0</v>
      </c>
      <c r="O46" s="13">
        <f t="shared" si="4"/>
        <v>124467890.77148437</v>
      </c>
      <c r="P46" s="13">
        <f t="shared" si="4"/>
        <v>115711277.89306641</v>
      </c>
      <c r="Q46" s="13">
        <f t="shared" si="4"/>
        <v>0</v>
      </c>
    </row>
    <row r="47" spans="1:17" x14ac:dyDescent="0.25">
      <c r="D47" s="114" t="s">
        <v>236</v>
      </c>
      <c r="E47" s="13">
        <f>D96*B97*365*D108*D102</f>
        <v>2737500</v>
      </c>
      <c r="F47" s="13">
        <f>$E47*F42*F$29</f>
        <v>15581008.858680725</v>
      </c>
      <c r="G47" s="13">
        <f t="shared" ref="G47:Q47" si="5">$E47*G$42*G$29</f>
        <v>14513115.062713623</v>
      </c>
      <c r="H47" s="13">
        <f t="shared" si="5"/>
        <v>0</v>
      </c>
      <c r="I47" s="13">
        <f t="shared" si="5"/>
        <v>1106722.360253334</v>
      </c>
      <c r="J47" s="13">
        <f t="shared" si="5"/>
        <v>1030869.7360754013</v>
      </c>
      <c r="K47" s="13">
        <f t="shared" si="5"/>
        <v>0</v>
      </c>
      <c r="L47" s="13">
        <f t="shared" si="5"/>
        <v>444712.36735582352</v>
      </c>
      <c r="M47" s="13">
        <f t="shared" si="5"/>
        <v>368763.27842473984</v>
      </c>
      <c r="N47" s="13">
        <f t="shared" si="5"/>
        <v>0</v>
      </c>
      <c r="O47" s="13">
        <f t="shared" si="5"/>
        <v>1704356138.3056641</v>
      </c>
      <c r="P47" s="13">
        <f t="shared" si="5"/>
        <v>1582140230.255127</v>
      </c>
      <c r="Q47" s="13">
        <f t="shared" si="5"/>
        <v>0</v>
      </c>
    </row>
    <row r="48" spans="1:17" s="68" customFormat="1" x14ac:dyDescent="0.25">
      <c r="A48" s="1" t="s">
        <v>251</v>
      </c>
      <c r="D48" s="114" t="s">
        <v>254</v>
      </c>
      <c r="E48" s="115"/>
      <c r="F48" s="126">
        <f>F112</f>
        <v>0.38</v>
      </c>
      <c r="G48" s="126">
        <f>F113</f>
        <v>0.62</v>
      </c>
      <c r="H48" s="126">
        <f>F114</f>
        <v>0</v>
      </c>
      <c r="I48" s="126">
        <f t="shared" ref="I48:Q48" si="6">F48</f>
        <v>0.38</v>
      </c>
      <c r="J48" s="126">
        <f t="shared" si="6"/>
        <v>0.62</v>
      </c>
      <c r="K48" s="126">
        <f t="shared" si="6"/>
        <v>0</v>
      </c>
      <c r="L48" s="126">
        <f t="shared" si="6"/>
        <v>0.38</v>
      </c>
      <c r="M48" s="126">
        <f t="shared" si="6"/>
        <v>0.62</v>
      </c>
      <c r="N48" s="126">
        <f t="shared" si="6"/>
        <v>0</v>
      </c>
      <c r="O48" s="126">
        <f t="shared" si="6"/>
        <v>0.38</v>
      </c>
      <c r="P48" s="126">
        <f t="shared" si="6"/>
        <v>0.62</v>
      </c>
      <c r="Q48" s="126">
        <f t="shared" si="6"/>
        <v>0</v>
      </c>
    </row>
    <row r="49" spans="1:17" s="68" customFormat="1" x14ac:dyDescent="0.25">
      <c r="D49" s="114" t="s">
        <v>213</v>
      </c>
      <c r="E49" s="115">
        <f>E43</f>
        <v>14454000</v>
      </c>
      <c r="F49" s="13">
        <f>$E49*F48*F$8</f>
        <v>915704.43839907646</v>
      </c>
      <c r="G49" s="13">
        <f t="shared" ref="G49:Q49" si="7">$E49*G$48*G$8</f>
        <v>817098.70337516069</v>
      </c>
      <c r="H49" s="13">
        <f t="shared" si="7"/>
        <v>0</v>
      </c>
      <c r="I49" s="13">
        <f t="shared" si="7"/>
        <v>46028.747404664755</v>
      </c>
      <c r="J49" s="13">
        <f t="shared" si="7"/>
        <v>36345.711107812822</v>
      </c>
      <c r="K49" s="13">
        <f t="shared" si="7"/>
        <v>0</v>
      </c>
      <c r="L49" s="13">
        <f t="shared" si="7"/>
        <v>15269.205494010821</v>
      </c>
      <c r="M49" s="13">
        <f t="shared" si="7"/>
        <v>17385.271086827852</v>
      </c>
      <c r="N49" s="13">
        <f t="shared" si="7"/>
        <v>0</v>
      </c>
      <c r="O49" s="13">
        <f t="shared" si="7"/>
        <v>1979686040.4492187</v>
      </c>
      <c r="P49" s="13">
        <f t="shared" si="7"/>
        <v>1873955325.9869385</v>
      </c>
      <c r="Q49" s="13">
        <f t="shared" si="7"/>
        <v>0</v>
      </c>
    </row>
    <row r="50" spans="1:17" x14ac:dyDescent="0.25">
      <c r="D50" s="114" t="s">
        <v>228</v>
      </c>
      <c r="E50" s="115">
        <f>E44</f>
        <v>9636000.0000000019</v>
      </c>
      <c r="F50" s="13">
        <f>$E50*F48*F$16</f>
        <v>3701116.1590862283</v>
      </c>
      <c r="G50" s="13">
        <f t="shared" ref="G50:Q50" si="8">$E50*G$48*G$16</f>
        <v>3109812.7025413518</v>
      </c>
      <c r="H50" s="13">
        <f t="shared" si="8"/>
        <v>0</v>
      </c>
      <c r="I50" s="13">
        <f t="shared" si="8"/>
        <v>1697141.8393850331</v>
      </c>
      <c r="J50" s="13">
        <f t="shared" si="8"/>
        <v>1426000.4924976828</v>
      </c>
      <c r="K50" s="13">
        <f t="shared" si="8"/>
        <v>0</v>
      </c>
      <c r="L50" s="13">
        <f t="shared" si="8"/>
        <v>114918.80144923928</v>
      </c>
      <c r="M50" s="13">
        <f t="shared" si="8"/>
        <v>103554.14026737215</v>
      </c>
      <c r="N50" s="13">
        <f t="shared" si="8"/>
        <v>0</v>
      </c>
      <c r="O50" s="13">
        <f t="shared" si="8"/>
        <v>967517924.43603539</v>
      </c>
      <c r="P50" s="13">
        <f t="shared" si="8"/>
        <v>969161399.40307629</v>
      </c>
      <c r="Q50" s="13">
        <f t="shared" si="8"/>
        <v>0</v>
      </c>
    </row>
    <row r="51" spans="1:17" x14ac:dyDescent="0.25">
      <c r="D51" s="114" t="s">
        <v>241</v>
      </c>
      <c r="E51" s="115">
        <f>E45</f>
        <v>328500</v>
      </c>
      <c r="F51" s="13">
        <f>$E51*F48*F$8</f>
        <v>20811.46450906992</v>
      </c>
      <c r="G51" s="13">
        <f t="shared" ref="G51:Q51" si="9">$E51*G$48*G$8</f>
        <v>18570.425076708198</v>
      </c>
      <c r="H51" s="13">
        <f t="shared" si="9"/>
        <v>0</v>
      </c>
      <c r="I51" s="13">
        <f t="shared" si="9"/>
        <v>1046.1078955605626</v>
      </c>
      <c r="J51" s="13">
        <f t="shared" si="9"/>
        <v>826.03888881392777</v>
      </c>
      <c r="K51" s="13">
        <f t="shared" si="9"/>
        <v>0</v>
      </c>
      <c r="L51" s="13">
        <f t="shared" si="9"/>
        <v>347.02739759115502</v>
      </c>
      <c r="M51" s="13">
        <f t="shared" si="9"/>
        <v>395.11979742790572</v>
      </c>
      <c r="N51" s="13">
        <f t="shared" si="9"/>
        <v>0</v>
      </c>
      <c r="O51" s="13">
        <f t="shared" si="9"/>
        <v>44992864.555664062</v>
      </c>
      <c r="P51" s="13">
        <f t="shared" si="9"/>
        <v>42589893.77243042</v>
      </c>
      <c r="Q51" s="13">
        <f t="shared" si="9"/>
        <v>0</v>
      </c>
    </row>
    <row r="52" spans="1:17" x14ac:dyDescent="0.25">
      <c r="D52" s="114" t="s">
        <v>229</v>
      </c>
      <c r="E52" s="115">
        <f>E46</f>
        <v>219000</v>
      </c>
      <c r="F52" s="13">
        <f>$E52*F48*F$22</f>
        <v>1368270.0185394287</v>
      </c>
      <c r="G52" s="13">
        <f t="shared" ref="G52:Q52" si="10">$E52*G$48*G$22</f>
        <v>1133046.0662269592</v>
      </c>
      <c r="H52" s="13">
        <f t="shared" si="10"/>
        <v>0</v>
      </c>
      <c r="I52" s="13">
        <f t="shared" si="10"/>
        <v>97188.508222103119</v>
      </c>
      <c r="J52" s="13">
        <f t="shared" si="10"/>
        <v>80480.505176782608</v>
      </c>
      <c r="K52" s="13">
        <f t="shared" si="10"/>
        <v>0</v>
      </c>
      <c r="L52" s="13">
        <f t="shared" si="10"/>
        <v>24954.173160195351</v>
      </c>
      <c r="M52" s="13">
        <f t="shared" si="10"/>
        <v>26668.205886483192</v>
      </c>
      <c r="N52" s="13">
        <f t="shared" si="10"/>
        <v>0</v>
      </c>
      <c r="O52" s="13">
        <f t="shared" si="10"/>
        <v>118244496.23291016</v>
      </c>
      <c r="P52" s="13">
        <f t="shared" si="10"/>
        <v>119568320.48950195</v>
      </c>
      <c r="Q52" s="13">
        <f t="shared" si="10"/>
        <v>0</v>
      </c>
    </row>
    <row r="53" spans="1:17" x14ac:dyDescent="0.25">
      <c r="D53" s="114" t="s">
        <v>236</v>
      </c>
      <c r="E53" s="115">
        <f>E47</f>
        <v>2737500</v>
      </c>
      <c r="F53" s="13">
        <f>$E53*F48*F$29</f>
        <v>14801958.415746689</v>
      </c>
      <c r="G53" s="13">
        <f t="shared" ref="G53:Q53" si="11">$E53*G$48*G$29</f>
        <v>14996885.564804077</v>
      </c>
      <c r="H53" s="13">
        <f t="shared" si="11"/>
        <v>0</v>
      </c>
      <c r="I53" s="13">
        <f t="shared" si="11"/>
        <v>1051386.2422406673</v>
      </c>
      <c r="J53" s="13">
        <f t="shared" si="11"/>
        <v>1065232.060611248</v>
      </c>
      <c r="K53" s="13">
        <f t="shared" si="11"/>
        <v>0</v>
      </c>
      <c r="L53" s="13">
        <f t="shared" si="11"/>
        <v>422476.74898803234</v>
      </c>
      <c r="M53" s="13">
        <f t="shared" si="11"/>
        <v>381055.3877055645</v>
      </c>
      <c r="N53" s="13">
        <f t="shared" si="11"/>
        <v>0</v>
      </c>
      <c r="O53" s="13">
        <f t="shared" si="11"/>
        <v>1619138331.3903809</v>
      </c>
      <c r="P53" s="13">
        <f t="shared" si="11"/>
        <v>1634878237.9302979</v>
      </c>
      <c r="Q53" s="13">
        <f t="shared" si="11"/>
        <v>0</v>
      </c>
    </row>
    <row r="54" spans="1:17" s="68" customFormat="1" x14ac:dyDescent="0.25">
      <c r="A54" s="1" t="s">
        <v>255</v>
      </c>
      <c r="D54" s="114" t="s">
        <v>254</v>
      </c>
      <c r="F54" s="126">
        <f>E116</f>
        <v>0</v>
      </c>
      <c r="G54" s="126">
        <f>E117</f>
        <v>0</v>
      </c>
      <c r="H54" s="126">
        <f>E118</f>
        <v>1</v>
      </c>
      <c r="I54" s="126">
        <f>F54</f>
        <v>0</v>
      </c>
      <c r="J54" s="126">
        <f t="shared" ref="J54:Q54" si="12">G54</f>
        <v>0</v>
      </c>
      <c r="K54" s="126">
        <f t="shared" si="12"/>
        <v>1</v>
      </c>
      <c r="L54" s="126">
        <f t="shared" si="12"/>
        <v>0</v>
      </c>
      <c r="M54" s="126">
        <f t="shared" si="12"/>
        <v>0</v>
      </c>
      <c r="N54" s="126">
        <f t="shared" si="12"/>
        <v>1</v>
      </c>
      <c r="O54" s="126">
        <f t="shared" si="12"/>
        <v>0</v>
      </c>
      <c r="P54" s="126">
        <f t="shared" si="12"/>
        <v>0</v>
      </c>
      <c r="Q54" s="126">
        <f t="shared" si="12"/>
        <v>1</v>
      </c>
    </row>
    <row r="55" spans="1:17" s="68" customFormat="1" x14ac:dyDescent="0.25">
      <c r="A55" s="1"/>
      <c r="D55" s="114" t="s">
        <v>213</v>
      </c>
      <c r="E55" s="115">
        <f>D96*B97*365*D109*D100</f>
        <v>0</v>
      </c>
      <c r="F55" s="13">
        <f>$E55*F54*F$8</f>
        <v>0</v>
      </c>
      <c r="G55" s="13">
        <f>$E55*G54*G$8</f>
        <v>0</v>
      </c>
      <c r="H55" s="13">
        <f t="shared" ref="H55:Q55" si="13">$E55*H54*H$8</f>
        <v>0</v>
      </c>
      <c r="I55" s="13">
        <f t="shared" si="13"/>
        <v>0</v>
      </c>
      <c r="J55" s="13">
        <f t="shared" si="13"/>
        <v>0</v>
      </c>
      <c r="K55" s="13">
        <f t="shared" si="13"/>
        <v>0</v>
      </c>
      <c r="L55" s="13">
        <f t="shared" si="13"/>
        <v>0</v>
      </c>
      <c r="M55" s="13">
        <f t="shared" si="13"/>
        <v>0</v>
      </c>
      <c r="N55" s="13">
        <f t="shared" si="13"/>
        <v>0</v>
      </c>
      <c r="O55" s="13">
        <f t="shared" si="13"/>
        <v>0</v>
      </c>
      <c r="P55" s="13">
        <f t="shared" si="13"/>
        <v>0</v>
      </c>
      <c r="Q55" s="13">
        <f t="shared" si="13"/>
        <v>0</v>
      </c>
    </row>
    <row r="56" spans="1:17" s="68" customFormat="1" x14ac:dyDescent="0.25">
      <c r="D56" s="114" t="s">
        <v>228</v>
      </c>
      <c r="E56" s="115">
        <f>D96*B97*365*D109*D101</f>
        <v>0</v>
      </c>
      <c r="F56" s="13">
        <f>$E56*F54*F$16</f>
        <v>0</v>
      </c>
      <c r="G56" s="13">
        <f>$E56*G54*G$16</f>
        <v>0</v>
      </c>
      <c r="H56" s="13">
        <f t="shared" ref="H56:Q56" si="14">$E56*H54*H$16</f>
        <v>0</v>
      </c>
      <c r="I56" s="13">
        <f t="shared" si="14"/>
        <v>0</v>
      </c>
      <c r="J56" s="13">
        <f t="shared" si="14"/>
        <v>0</v>
      </c>
      <c r="K56" s="13">
        <f t="shared" si="14"/>
        <v>0</v>
      </c>
      <c r="L56" s="13">
        <f t="shared" si="14"/>
        <v>0</v>
      </c>
      <c r="M56" s="13">
        <f t="shared" si="14"/>
        <v>0</v>
      </c>
      <c r="N56" s="13">
        <f t="shared" si="14"/>
        <v>0</v>
      </c>
      <c r="O56" s="13">
        <f t="shared" si="14"/>
        <v>0</v>
      </c>
      <c r="P56" s="13">
        <f t="shared" si="14"/>
        <v>0</v>
      </c>
      <c r="Q56" s="13">
        <f t="shared" si="14"/>
        <v>0</v>
      </c>
    </row>
    <row r="57" spans="1:17" s="68" customFormat="1" x14ac:dyDescent="0.25">
      <c r="D57" s="114" t="s">
        <v>241</v>
      </c>
      <c r="E57" s="115">
        <f>D96*B97*365*D109*D105</f>
        <v>0</v>
      </c>
      <c r="F57" s="13">
        <f>$E57*F54*F$8</f>
        <v>0</v>
      </c>
      <c r="G57" s="13">
        <f>$E57*G54*G$8</f>
        <v>0</v>
      </c>
      <c r="H57" s="13">
        <f t="shared" ref="H57:Q57" si="15">$E57*H54*H$8</f>
        <v>0</v>
      </c>
      <c r="I57" s="13">
        <f t="shared" si="15"/>
        <v>0</v>
      </c>
      <c r="J57" s="13">
        <f t="shared" si="15"/>
        <v>0</v>
      </c>
      <c r="K57" s="13">
        <f t="shared" si="15"/>
        <v>0</v>
      </c>
      <c r="L57" s="13">
        <f t="shared" si="15"/>
        <v>0</v>
      </c>
      <c r="M57" s="13">
        <f t="shared" si="15"/>
        <v>0</v>
      </c>
      <c r="N57" s="13">
        <f t="shared" si="15"/>
        <v>0</v>
      </c>
      <c r="O57" s="13">
        <f t="shared" si="15"/>
        <v>0</v>
      </c>
      <c r="P57" s="13">
        <f t="shared" si="15"/>
        <v>0</v>
      </c>
      <c r="Q57" s="13">
        <f t="shared" si="15"/>
        <v>0</v>
      </c>
    </row>
    <row r="58" spans="1:17" s="68" customFormat="1" x14ac:dyDescent="0.25">
      <c r="D58" s="114" t="s">
        <v>229</v>
      </c>
      <c r="E58" s="115">
        <f>D96*B97*365*D109*D106</f>
        <v>0</v>
      </c>
      <c r="F58" s="13">
        <f>$E58*F54*F$22</f>
        <v>0</v>
      </c>
      <c r="G58" s="13">
        <f>$E58*G54*G$22</f>
        <v>0</v>
      </c>
      <c r="H58" s="13">
        <f t="shared" ref="H58:Q58" si="16">$E58*H54*H$22</f>
        <v>0</v>
      </c>
      <c r="I58" s="13">
        <f t="shared" si="16"/>
        <v>0</v>
      </c>
      <c r="J58" s="13">
        <f t="shared" si="16"/>
        <v>0</v>
      </c>
      <c r="K58" s="13">
        <f t="shared" si="16"/>
        <v>0</v>
      </c>
      <c r="L58" s="13">
        <f t="shared" si="16"/>
        <v>0</v>
      </c>
      <c r="M58" s="13">
        <f t="shared" si="16"/>
        <v>0</v>
      </c>
      <c r="N58" s="13">
        <f t="shared" si="16"/>
        <v>0</v>
      </c>
      <c r="O58" s="13">
        <f t="shared" si="16"/>
        <v>0</v>
      </c>
      <c r="P58" s="13">
        <f t="shared" si="16"/>
        <v>0</v>
      </c>
      <c r="Q58" s="13">
        <f t="shared" si="16"/>
        <v>0</v>
      </c>
    </row>
    <row r="59" spans="1:17" s="68" customFormat="1" x14ac:dyDescent="0.25">
      <c r="D59" s="114" t="s">
        <v>236</v>
      </c>
      <c r="E59" s="115">
        <f>D96*B97*365*D109*D102</f>
        <v>0</v>
      </c>
      <c r="F59" s="13">
        <f>$E59*F54*F$29</f>
        <v>0</v>
      </c>
      <c r="G59" s="13">
        <f>$E59*G54*G$29</f>
        <v>0</v>
      </c>
      <c r="H59" s="13">
        <f t="shared" ref="H59:Q59" si="17">$E59*H54*H$29</f>
        <v>0</v>
      </c>
      <c r="I59" s="13">
        <f t="shared" si="17"/>
        <v>0</v>
      </c>
      <c r="J59" s="13">
        <f t="shared" si="17"/>
        <v>0</v>
      </c>
      <c r="K59" s="13">
        <f t="shared" si="17"/>
        <v>0</v>
      </c>
      <c r="L59" s="13">
        <f t="shared" si="17"/>
        <v>0</v>
      </c>
      <c r="M59" s="13">
        <f t="shared" si="17"/>
        <v>0</v>
      </c>
      <c r="N59" s="13">
        <f t="shared" si="17"/>
        <v>0</v>
      </c>
      <c r="O59" s="13">
        <f t="shared" si="17"/>
        <v>0</v>
      </c>
      <c r="P59" s="13">
        <f t="shared" si="17"/>
        <v>0</v>
      </c>
      <c r="Q59" s="13">
        <f t="shared" si="17"/>
        <v>0</v>
      </c>
    </row>
    <row r="60" spans="1:17" s="68" customFormat="1" x14ac:dyDescent="0.25">
      <c r="A60" s="1" t="s">
        <v>256</v>
      </c>
      <c r="D60" s="114" t="s">
        <v>254</v>
      </c>
      <c r="E60" s="115"/>
      <c r="F60" s="126">
        <f>F116</f>
        <v>0</v>
      </c>
      <c r="G60" s="126">
        <f>F117</f>
        <v>0</v>
      </c>
      <c r="H60" s="126">
        <f>F118</f>
        <v>1</v>
      </c>
      <c r="I60" s="126">
        <f t="shared" ref="I60:Q60" si="18">F60</f>
        <v>0</v>
      </c>
      <c r="J60" s="126">
        <f t="shared" si="18"/>
        <v>0</v>
      </c>
      <c r="K60" s="126">
        <f t="shared" si="18"/>
        <v>1</v>
      </c>
      <c r="L60" s="126">
        <f t="shared" si="18"/>
        <v>0</v>
      </c>
      <c r="M60" s="126">
        <f t="shared" si="18"/>
        <v>0</v>
      </c>
      <c r="N60" s="126">
        <f t="shared" si="18"/>
        <v>1</v>
      </c>
      <c r="O60" s="126">
        <f t="shared" si="18"/>
        <v>0</v>
      </c>
      <c r="P60" s="126">
        <f t="shared" si="18"/>
        <v>0</v>
      </c>
      <c r="Q60" s="126">
        <f t="shared" si="18"/>
        <v>1</v>
      </c>
    </row>
    <row r="61" spans="1:17" s="68" customFormat="1" x14ac:dyDescent="0.25">
      <c r="D61" s="114" t="s">
        <v>213</v>
      </c>
      <c r="E61" s="115">
        <f>E55</f>
        <v>0</v>
      </c>
      <c r="F61" s="13">
        <f t="shared" ref="F61:Q61" si="19">$E61*F60*F$8</f>
        <v>0</v>
      </c>
      <c r="G61" s="13">
        <f t="shared" si="19"/>
        <v>0</v>
      </c>
      <c r="H61" s="13">
        <f t="shared" si="19"/>
        <v>0</v>
      </c>
      <c r="I61" s="13">
        <f t="shared" si="19"/>
        <v>0</v>
      </c>
      <c r="J61" s="13">
        <f t="shared" si="19"/>
        <v>0</v>
      </c>
      <c r="K61" s="13">
        <f t="shared" si="19"/>
        <v>0</v>
      </c>
      <c r="L61" s="13">
        <f t="shared" si="19"/>
        <v>0</v>
      </c>
      <c r="M61" s="13">
        <f t="shared" si="19"/>
        <v>0</v>
      </c>
      <c r="N61" s="13">
        <f t="shared" si="19"/>
        <v>0</v>
      </c>
      <c r="O61" s="13">
        <f t="shared" si="19"/>
        <v>0</v>
      </c>
      <c r="P61" s="13">
        <f t="shared" si="19"/>
        <v>0</v>
      </c>
      <c r="Q61" s="13">
        <f t="shared" si="19"/>
        <v>0</v>
      </c>
    </row>
    <row r="62" spans="1:17" s="68" customFormat="1" x14ac:dyDescent="0.25">
      <c r="D62" s="114" t="s">
        <v>228</v>
      </c>
      <c r="E62" s="115">
        <f>E56</f>
        <v>0</v>
      </c>
      <c r="F62" s="13">
        <f>$E62*F60*F$16</f>
        <v>0</v>
      </c>
      <c r="G62" s="13">
        <f>$E62*G60*G$16</f>
        <v>0</v>
      </c>
      <c r="H62" s="13">
        <f t="shared" ref="H62:Q62" si="20">$E62*H60*H$16</f>
        <v>0</v>
      </c>
      <c r="I62" s="13">
        <f t="shared" si="20"/>
        <v>0</v>
      </c>
      <c r="J62" s="13">
        <f t="shared" si="20"/>
        <v>0</v>
      </c>
      <c r="K62" s="13">
        <f t="shared" si="20"/>
        <v>0</v>
      </c>
      <c r="L62" s="13">
        <f t="shared" si="20"/>
        <v>0</v>
      </c>
      <c r="M62" s="13">
        <f t="shared" si="20"/>
        <v>0</v>
      </c>
      <c r="N62" s="13">
        <f t="shared" si="20"/>
        <v>0</v>
      </c>
      <c r="O62" s="13">
        <f t="shared" si="20"/>
        <v>0</v>
      </c>
      <c r="P62" s="13">
        <f t="shared" si="20"/>
        <v>0</v>
      </c>
      <c r="Q62" s="13">
        <f t="shared" si="20"/>
        <v>0</v>
      </c>
    </row>
    <row r="63" spans="1:17" s="68" customFormat="1" x14ac:dyDescent="0.25">
      <c r="D63" s="114" t="s">
        <v>241</v>
      </c>
      <c r="E63" s="115">
        <f>E57</f>
        <v>0</v>
      </c>
      <c r="F63" s="13">
        <f>$E63*F60*F$8</f>
        <v>0</v>
      </c>
      <c r="G63" s="13">
        <f>$E63*G60*G$8</f>
        <v>0</v>
      </c>
      <c r="H63" s="13">
        <f t="shared" ref="H63:Q63" si="21">$E63*H60*H$8</f>
        <v>0</v>
      </c>
      <c r="I63" s="13">
        <f t="shared" si="21"/>
        <v>0</v>
      </c>
      <c r="J63" s="13">
        <f t="shared" si="21"/>
        <v>0</v>
      </c>
      <c r="K63" s="13">
        <f t="shared" si="21"/>
        <v>0</v>
      </c>
      <c r="L63" s="13">
        <f t="shared" si="21"/>
        <v>0</v>
      </c>
      <c r="M63" s="13">
        <f t="shared" si="21"/>
        <v>0</v>
      </c>
      <c r="N63" s="13">
        <f t="shared" si="21"/>
        <v>0</v>
      </c>
      <c r="O63" s="13">
        <f t="shared" si="21"/>
        <v>0</v>
      </c>
      <c r="P63" s="13">
        <f t="shared" si="21"/>
        <v>0</v>
      </c>
      <c r="Q63" s="13">
        <f t="shared" si="21"/>
        <v>0</v>
      </c>
    </row>
    <row r="64" spans="1:17" s="68" customFormat="1" x14ac:dyDescent="0.25">
      <c r="D64" s="114" t="s">
        <v>229</v>
      </c>
      <c r="E64" s="115">
        <f>E58</f>
        <v>0</v>
      </c>
      <c r="F64" s="13">
        <f>$E64*F60*F$22</f>
        <v>0</v>
      </c>
      <c r="G64" s="13">
        <f>$E64*G60*G$22</f>
        <v>0</v>
      </c>
      <c r="H64" s="13">
        <f t="shared" ref="H64:Q64" si="22">$E64*H60*H$22</f>
        <v>0</v>
      </c>
      <c r="I64" s="13">
        <f t="shared" si="22"/>
        <v>0</v>
      </c>
      <c r="J64" s="13">
        <f t="shared" si="22"/>
        <v>0</v>
      </c>
      <c r="K64" s="13">
        <f t="shared" si="22"/>
        <v>0</v>
      </c>
      <c r="L64" s="13">
        <f t="shared" si="22"/>
        <v>0</v>
      </c>
      <c r="M64" s="13">
        <f t="shared" si="22"/>
        <v>0</v>
      </c>
      <c r="N64" s="13">
        <f t="shared" si="22"/>
        <v>0</v>
      </c>
      <c r="O64" s="13">
        <f t="shared" si="22"/>
        <v>0</v>
      </c>
      <c r="P64" s="13">
        <f t="shared" si="22"/>
        <v>0</v>
      </c>
      <c r="Q64" s="13">
        <f t="shared" si="22"/>
        <v>0</v>
      </c>
    </row>
    <row r="65" spans="1:19" s="68" customFormat="1" x14ac:dyDescent="0.25">
      <c r="D65" s="114" t="s">
        <v>236</v>
      </c>
      <c r="E65" s="115">
        <f>E59</f>
        <v>0</v>
      </c>
      <c r="F65" s="13">
        <f>$E65*F60*F$29</f>
        <v>0</v>
      </c>
      <c r="G65" s="13">
        <f>$E65*G60*G$29</f>
        <v>0</v>
      </c>
      <c r="H65" s="13">
        <f t="shared" ref="H65:Q65" si="23">$E65*H60*H$29</f>
        <v>0</v>
      </c>
      <c r="I65" s="13">
        <f t="shared" si="23"/>
        <v>0</v>
      </c>
      <c r="J65" s="13">
        <f t="shared" si="23"/>
        <v>0</v>
      </c>
      <c r="K65" s="13">
        <f t="shared" si="23"/>
        <v>0</v>
      </c>
      <c r="L65" s="13">
        <f t="shared" si="23"/>
        <v>0</v>
      </c>
      <c r="M65" s="13">
        <f t="shared" si="23"/>
        <v>0</v>
      </c>
      <c r="N65" s="13">
        <f t="shared" si="23"/>
        <v>0</v>
      </c>
      <c r="O65" s="13">
        <f t="shared" si="23"/>
        <v>0</v>
      </c>
      <c r="P65" s="13">
        <f t="shared" si="23"/>
        <v>0</v>
      </c>
      <c r="Q65" s="13">
        <f t="shared" si="23"/>
        <v>0</v>
      </c>
    </row>
    <row r="66" spans="1:19" s="68" customFormat="1" x14ac:dyDescent="0.25">
      <c r="A66" s="1" t="s">
        <v>257</v>
      </c>
      <c r="D66" s="114" t="s">
        <v>254</v>
      </c>
      <c r="E66" s="115"/>
      <c r="F66" s="126">
        <f>E120</f>
        <v>0</v>
      </c>
      <c r="G66" s="126">
        <f>E121</f>
        <v>0</v>
      </c>
      <c r="H66" s="126">
        <f>E122</f>
        <v>1</v>
      </c>
      <c r="I66" s="126">
        <f t="shared" ref="I66:Q66" si="24">F66</f>
        <v>0</v>
      </c>
      <c r="J66" s="126">
        <f t="shared" si="24"/>
        <v>0</v>
      </c>
      <c r="K66" s="126">
        <f t="shared" si="24"/>
        <v>1</v>
      </c>
      <c r="L66" s="126">
        <f t="shared" si="24"/>
        <v>0</v>
      </c>
      <c r="M66" s="126">
        <f t="shared" si="24"/>
        <v>0</v>
      </c>
      <c r="N66" s="126">
        <f t="shared" si="24"/>
        <v>1</v>
      </c>
      <c r="O66" s="126">
        <f t="shared" si="24"/>
        <v>0</v>
      </c>
      <c r="P66" s="126">
        <f t="shared" si="24"/>
        <v>0</v>
      </c>
      <c r="Q66" s="126">
        <f t="shared" si="24"/>
        <v>1</v>
      </c>
    </row>
    <row r="67" spans="1:19" s="68" customFormat="1" x14ac:dyDescent="0.25">
      <c r="A67" s="1"/>
      <c r="D67" s="114" t="s">
        <v>213</v>
      </c>
      <c r="E67" s="115">
        <f>D96*B97*365*D110*D100</f>
        <v>0</v>
      </c>
      <c r="F67" s="13">
        <f t="shared" ref="F67:Q67" si="25">$E67*F66*F$8</f>
        <v>0</v>
      </c>
      <c r="G67" s="13">
        <f t="shared" si="25"/>
        <v>0</v>
      </c>
      <c r="H67" s="13">
        <f t="shared" si="25"/>
        <v>0</v>
      </c>
      <c r="I67" s="13">
        <f t="shared" si="25"/>
        <v>0</v>
      </c>
      <c r="J67" s="13">
        <f t="shared" si="25"/>
        <v>0</v>
      </c>
      <c r="K67" s="13">
        <f t="shared" si="25"/>
        <v>0</v>
      </c>
      <c r="L67" s="13">
        <f t="shared" si="25"/>
        <v>0</v>
      </c>
      <c r="M67" s="13">
        <f t="shared" si="25"/>
        <v>0</v>
      </c>
      <c r="N67" s="13">
        <f t="shared" si="25"/>
        <v>0</v>
      </c>
      <c r="O67" s="13">
        <f t="shared" si="25"/>
        <v>0</v>
      </c>
      <c r="P67" s="13">
        <f t="shared" si="25"/>
        <v>0</v>
      </c>
      <c r="Q67" s="13">
        <f t="shared" si="25"/>
        <v>0</v>
      </c>
    </row>
    <row r="68" spans="1:19" s="68" customFormat="1" x14ac:dyDescent="0.25">
      <c r="D68" s="114" t="s">
        <v>228</v>
      </c>
      <c r="E68" s="115">
        <f>D96*B97*365*D110*D101</f>
        <v>0</v>
      </c>
      <c r="F68" s="13">
        <f>$E68*F66*F$16</f>
        <v>0</v>
      </c>
      <c r="G68" s="13">
        <f>$E68*G66*G$16</f>
        <v>0</v>
      </c>
      <c r="H68" s="13">
        <f t="shared" ref="H68:Q68" si="26">$E68*H66*H$16</f>
        <v>0</v>
      </c>
      <c r="I68" s="13">
        <f t="shared" si="26"/>
        <v>0</v>
      </c>
      <c r="J68" s="13">
        <f t="shared" si="26"/>
        <v>0</v>
      </c>
      <c r="K68" s="13">
        <f t="shared" si="26"/>
        <v>0</v>
      </c>
      <c r="L68" s="13">
        <f t="shared" si="26"/>
        <v>0</v>
      </c>
      <c r="M68" s="13">
        <f t="shared" si="26"/>
        <v>0</v>
      </c>
      <c r="N68" s="13">
        <f t="shared" si="26"/>
        <v>0</v>
      </c>
      <c r="O68" s="13">
        <f t="shared" si="26"/>
        <v>0</v>
      </c>
      <c r="P68" s="13">
        <f t="shared" si="26"/>
        <v>0</v>
      </c>
      <c r="Q68" s="13">
        <f t="shared" si="26"/>
        <v>0</v>
      </c>
    </row>
    <row r="69" spans="1:19" s="68" customFormat="1" x14ac:dyDescent="0.25">
      <c r="D69" s="114" t="s">
        <v>241</v>
      </c>
      <c r="E69" s="115">
        <f>D96*B97*365*D110*D105</f>
        <v>0</v>
      </c>
      <c r="F69" s="13">
        <f>$E69*F66*F$8</f>
        <v>0</v>
      </c>
      <c r="G69" s="13">
        <f>$E69*G66*G$8</f>
        <v>0</v>
      </c>
      <c r="H69" s="13">
        <f t="shared" ref="H69:Q69" si="27">$E69*H66*H$8</f>
        <v>0</v>
      </c>
      <c r="I69" s="13">
        <f t="shared" si="27"/>
        <v>0</v>
      </c>
      <c r="J69" s="13">
        <f t="shared" si="27"/>
        <v>0</v>
      </c>
      <c r="K69" s="13">
        <f t="shared" si="27"/>
        <v>0</v>
      </c>
      <c r="L69" s="13">
        <f t="shared" si="27"/>
        <v>0</v>
      </c>
      <c r="M69" s="13">
        <f t="shared" si="27"/>
        <v>0</v>
      </c>
      <c r="N69" s="13">
        <f t="shared" si="27"/>
        <v>0</v>
      </c>
      <c r="O69" s="13">
        <f t="shared" si="27"/>
        <v>0</v>
      </c>
      <c r="P69" s="13">
        <f t="shared" si="27"/>
        <v>0</v>
      </c>
      <c r="Q69" s="13">
        <f t="shared" si="27"/>
        <v>0</v>
      </c>
    </row>
    <row r="70" spans="1:19" s="68" customFormat="1" x14ac:dyDescent="0.25">
      <c r="D70" s="114" t="s">
        <v>229</v>
      </c>
      <c r="E70" s="115">
        <f>D96*B97*365*D110*D106</f>
        <v>0</v>
      </c>
      <c r="F70" s="13">
        <f>$E70*F66*F$22</f>
        <v>0</v>
      </c>
      <c r="G70" s="13">
        <f>$E70*G66*G$22</f>
        <v>0</v>
      </c>
      <c r="H70" s="13">
        <f t="shared" ref="H70:Q70" si="28">$E70*H66*H$22</f>
        <v>0</v>
      </c>
      <c r="I70" s="13">
        <f t="shared" si="28"/>
        <v>0</v>
      </c>
      <c r="J70" s="13">
        <f t="shared" si="28"/>
        <v>0</v>
      </c>
      <c r="K70" s="13">
        <f t="shared" si="28"/>
        <v>0</v>
      </c>
      <c r="L70" s="13">
        <f t="shared" si="28"/>
        <v>0</v>
      </c>
      <c r="M70" s="13">
        <f t="shared" si="28"/>
        <v>0</v>
      </c>
      <c r="N70" s="13">
        <f t="shared" si="28"/>
        <v>0</v>
      </c>
      <c r="O70" s="13">
        <f t="shared" si="28"/>
        <v>0</v>
      </c>
      <c r="P70" s="13">
        <f t="shared" si="28"/>
        <v>0</v>
      </c>
      <c r="Q70" s="13">
        <f t="shared" si="28"/>
        <v>0</v>
      </c>
    </row>
    <row r="71" spans="1:19" s="68" customFormat="1" x14ac:dyDescent="0.25">
      <c r="D71" s="114" t="s">
        <v>236</v>
      </c>
      <c r="E71" s="115">
        <f>D96*B97*365*D110*D102</f>
        <v>0</v>
      </c>
      <c r="F71" s="13">
        <f>$E71*F66*F$29</f>
        <v>0</v>
      </c>
      <c r="G71" s="13">
        <f>$E71*G66*G$29</f>
        <v>0</v>
      </c>
      <c r="H71" s="13">
        <f t="shared" ref="H71:Q71" si="29">$E71*H66*H$29</f>
        <v>0</v>
      </c>
      <c r="I71" s="13">
        <f t="shared" si="29"/>
        <v>0</v>
      </c>
      <c r="J71" s="13">
        <f t="shared" si="29"/>
        <v>0</v>
      </c>
      <c r="K71" s="13">
        <f t="shared" si="29"/>
        <v>0</v>
      </c>
      <c r="L71" s="13">
        <f t="shared" si="29"/>
        <v>0</v>
      </c>
      <c r="M71" s="13">
        <f t="shared" si="29"/>
        <v>0</v>
      </c>
      <c r="N71" s="13">
        <f t="shared" si="29"/>
        <v>0</v>
      </c>
      <c r="O71" s="13">
        <f t="shared" si="29"/>
        <v>0</v>
      </c>
      <c r="P71" s="13">
        <f t="shared" si="29"/>
        <v>0</v>
      </c>
      <c r="Q71" s="13">
        <f t="shared" si="29"/>
        <v>0</v>
      </c>
    </row>
    <row r="72" spans="1:19" s="68" customFormat="1" x14ac:dyDescent="0.25">
      <c r="A72" s="1" t="s">
        <v>258</v>
      </c>
      <c r="D72" s="114" t="s">
        <v>254</v>
      </c>
      <c r="E72" s="115"/>
      <c r="F72" s="126">
        <f>F120</f>
        <v>0</v>
      </c>
      <c r="G72" s="126">
        <f>F121</f>
        <v>0</v>
      </c>
      <c r="H72" s="126">
        <f>F122</f>
        <v>1</v>
      </c>
      <c r="I72" s="126">
        <f t="shared" ref="I72:Q72" si="30">F72</f>
        <v>0</v>
      </c>
      <c r="J72" s="126">
        <f t="shared" si="30"/>
        <v>0</v>
      </c>
      <c r="K72" s="126">
        <f t="shared" si="30"/>
        <v>1</v>
      </c>
      <c r="L72" s="126">
        <f t="shared" si="30"/>
        <v>0</v>
      </c>
      <c r="M72" s="126">
        <f t="shared" si="30"/>
        <v>0</v>
      </c>
      <c r="N72" s="126">
        <f t="shared" si="30"/>
        <v>1</v>
      </c>
      <c r="O72" s="126">
        <f t="shared" si="30"/>
        <v>0</v>
      </c>
      <c r="P72" s="126">
        <f t="shared" si="30"/>
        <v>0</v>
      </c>
      <c r="Q72" s="126">
        <f t="shared" si="30"/>
        <v>1</v>
      </c>
    </row>
    <row r="73" spans="1:19" s="68" customFormat="1" x14ac:dyDescent="0.25">
      <c r="D73" s="114" t="s">
        <v>213</v>
      </c>
      <c r="E73" s="115">
        <f>E67</f>
        <v>0</v>
      </c>
      <c r="F73" s="13">
        <f t="shared" ref="F73:Q73" si="31">$E73*F72*F$8</f>
        <v>0</v>
      </c>
      <c r="G73" s="13">
        <f t="shared" si="31"/>
        <v>0</v>
      </c>
      <c r="H73" s="13">
        <f t="shared" si="31"/>
        <v>0</v>
      </c>
      <c r="I73" s="13">
        <f t="shared" si="31"/>
        <v>0</v>
      </c>
      <c r="J73" s="13">
        <f t="shared" si="31"/>
        <v>0</v>
      </c>
      <c r="K73" s="13">
        <f t="shared" si="31"/>
        <v>0</v>
      </c>
      <c r="L73" s="13">
        <f t="shared" si="31"/>
        <v>0</v>
      </c>
      <c r="M73" s="13">
        <f t="shared" si="31"/>
        <v>0</v>
      </c>
      <c r="N73" s="13">
        <f t="shared" si="31"/>
        <v>0</v>
      </c>
      <c r="O73" s="13">
        <f t="shared" si="31"/>
        <v>0</v>
      </c>
      <c r="P73" s="13">
        <f t="shared" si="31"/>
        <v>0</v>
      </c>
      <c r="Q73" s="13">
        <f t="shared" si="31"/>
        <v>0</v>
      </c>
    </row>
    <row r="74" spans="1:19" s="68" customFormat="1" x14ac:dyDescent="0.25">
      <c r="D74" s="114" t="s">
        <v>228</v>
      </c>
      <c r="E74" s="115">
        <f>E68</f>
        <v>0</v>
      </c>
      <c r="F74" s="13">
        <f>$E74*F72*F$16</f>
        <v>0</v>
      </c>
      <c r="G74" s="13">
        <f>$E74*G72*G$16</f>
        <v>0</v>
      </c>
      <c r="H74" s="13">
        <f t="shared" ref="H74:Q74" si="32">$E74*H72*H$16</f>
        <v>0</v>
      </c>
      <c r="I74" s="13">
        <f t="shared" si="32"/>
        <v>0</v>
      </c>
      <c r="J74" s="13">
        <f t="shared" si="32"/>
        <v>0</v>
      </c>
      <c r="K74" s="13">
        <f t="shared" si="32"/>
        <v>0</v>
      </c>
      <c r="L74" s="13">
        <f t="shared" si="32"/>
        <v>0</v>
      </c>
      <c r="M74" s="13">
        <f t="shared" si="32"/>
        <v>0</v>
      </c>
      <c r="N74" s="13">
        <f t="shared" si="32"/>
        <v>0</v>
      </c>
      <c r="O74" s="13">
        <f t="shared" si="32"/>
        <v>0</v>
      </c>
      <c r="P74" s="13">
        <f t="shared" si="32"/>
        <v>0</v>
      </c>
      <c r="Q74" s="13">
        <f t="shared" si="32"/>
        <v>0</v>
      </c>
    </row>
    <row r="75" spans="1:19" s="68" customFormat="1" x14ac:dyDescent="0.25">
      <c r="D75" s="114" t="s">
        <v>241</v>
      </c>
      <c r="E75" s="115">
        <f>E69</f>
        <v>0</v>
      </c>
      <c r="F75" s="13">
        <f>$E75*F72*F$8</f>
        <v>0</v>
      </c>
      <c r="G75" s="13">
        <f>$E75*G72*G$8</f>
        <v>0</v>
      </c>
      <c r="H75" s="13">
        <f t="shared" ref="H75:Q75" si="33">$E75*H72*H$8</f>
        <v>0</v>
      </c>
      <c r="I75" s="13">
        <f t="shared" si="33"/>
        <v>0</v>
      </c>
      <c r="J75" s="13">
        <f t="shared" si="33"/>
        <v>0</v>
      </c>
      <c r="K75" s="13">
        <f t="shared" si="33"/>
        <v>0</v>
      </c>
      <c r="L75" s="13">
        <f t="shared" si="33"/>
        <v>0</v>
      </c>
      <c r="M75" s="13">
        <f t="shared" si="33"/>
        <v>0</v>
      </c>
      <c r="N75" s="13">
        <f t="shared" si="33"/>
        <v>0</v>
      </c>
      <c r="O75" s="13">
        <f t="shared" si="33"/>
        <v>0</v>
      </c>
      <c r="P75" s="13">
        <f t="shared" si="33"/>
        <v>0</v>
      </c>
      <c r="Q75" s="13">
        <f t="shared" si="33"/>
        <v>0</v>
      </c>
    </row>
    <row r="76" spans="1:19" s="68" customFormat="1" x14ac:dyDescent="0.25">
      <c r="D76" s="114" t="s">
        <v>229</v>
      </c>
      <c r="E76" s="115">
        <f>E70</f>
        <v>0</v>
      </c>
      <c r="F76" s="13">
        <f>$E76*F72*F$22</f>
        <v>0</v>
      </c>
      <c r="G76" s="13">
        <f>$E76*G72*G$22</f>
        <v>0</v>
      </c>
      <c r="H76" s="13">
        <f t="shared" ref="H76:Q76" si="34">$E76*H72*H$22</f>
        <v>0</v>
      </c>
      <c r="I76" s="13">
        <f t="shared" si="34"/>
        <v>0</v>
      </c>
      <c r="J76" s="13">
        <f t="shared" si="34"/>
        <v>0</v>
      </c>
      <c r="K76" s="13">
        <f t="shared" si="34"/>
        <v>0</v>
      </c>
      <c r="L76" s="13">
        <f t="shared" si="34"/>
        <v>0</v>
      </c>
      <c r="M76" s="13">
        <f t="shared" si="34"/>
        <v>0</v>
      </c>
      <c r="N76" s="13">
        <f t="shared" si="34"/>
        <v>0</v>
      </c>
      <c r="O76" s="13">
        <f t="shared" si="34"/>
        <v>0</v>
      </c>
      <c r="P76" s="13">
        <f t="shared" si="34"/>
        <v>0</v>
      </c>
      <c r="Q76" s="13">
        <f t="shared" si="34"/>
        <v>0</v>
      </c>
    </row>
    <row r="77" spans="1:19" s="68" customFormat="1" x14ac:dyDescent="0.25">
      <c r="D77" s="114" t="s">
        <v>236</v>
      </c>
      <c r="E77" s="115">
        <f>E71</f>
        <v>0</v>
      </c>
      <c r="F77" s="13">
        <f>$E77*F72*F$29</f>
        <v>0</v>
      </c>
      <c r="G77" s="13">
        <f>$E77*G72*G$29</f>
        <v>0</v>
      </c>
      <c r="H77" s="13">
        <f t="shared" ref="H77:Q77" si="35">$E77*H72*H$29</f>
        <v>0</v>
      </c>
      <c r="I77" s="13">
        <f t="shared" si="35"/>
        <v>0</v>
      </c>
      <c r="J77" s="13">
        <f t="shared" si="35"/>
        <v>0</v>
      </c>
      <c r="K77" s="13">
        <f t="shared" si="35"/>
        <v>0</v>
      </c>
      <c r="L77" s="13">
        <f t="shared" si="35"/>
        <v>0</v>
      </c>
      <c r="M77" s="13">
        <f t="shared" si="35"/>
        <v>0</v>
      </c>
      <c r="N77" s="13">
        <f t="shared" si="35"/>
        <v>0</v>
      </c>
      <c r="O77" s="13">
        <f t="shared" si="35"/>
        <v>0</v>
      </c>
      <c r="P77" s="13">
        <f t="shared" si="35"/>
        <v>0</v>
      </c>
      <c r="Q77" s="13">
        <f t="shared" si="35"/>
        <v>0</v>
      </c>
    </row>
    <row r="78" spans="1:19" s="68" customFormat="1" x14ac:dyDescent="0.25">
      <c r="D78" s="114"/>
      <c r="E78" s="115"/>
      <c r="F78" s="13"/>
      <c r="G78" s="13"/>
      <c r="H78" s="13"/>
      <c r="I78" s="13"/>
      <c r="J78" s="13"/>
      <c r="K78" s="13"/>
      <c r="L78" s="13"/>
      <c r="M78" s="13"/>
      <c r="N78" s="13"/>
      <c r="O78" s="13"/>
      <c r="P78" s="13"/>
      <c r="Q78" s="13"/>
    </row>
    <row r="79" spans="1:19" s="68" customFormat="1" x14ac:dyDescent="0.25">
      <c r="D79" s="114"/>
      <c r="E79" s="128" t="s">
        <v>264</v>
      </c>
      <c r="G79" s="13"/>
      <c r="H79" s="13"/>
      <c r="I79" s="13"/>
      <c r="J79" s="128" t="s">
        <v>270</v>
      </c>
      <c r="K79" s="13"/>
      <c r="L79" s="13"/>
      <c r="M79" s="13"/>
      <c r="N79" s="13"/>
      <c r="O79" s="128" t="s">
        <v>276</v>
      </c>
      <c r="P79" s="13"/>
      <c r="Q79" s="13"/>
      <c r="R79" s="13"/>
    </row>
    <row r="80" spans="1:19" s="68" customFormat="1" x14ac:dyDescent="0.25">
      <c r="D80" s="114"/>
      <c r="E80" s="128" t="s">
        <v>260</v>
      </c>
      <c r="F80" s="128" t="s">
        <v>261</v>
      </c>
      <c r="G80" s="128" t="s">
        <v>262</v>
      </c>
      <c r="H80" s="128" t="s">
        <v>263</v>
      </c>
      <c r="J80" s="128" t="s">
        <v>271</v>
      </c>
      <c r="K80" s="128" t="s">
        <v>272</v>
      </c>
      <c r="L80" s="128" t="s">
        <v>273</v>
      </c>
      <c r="M80" s="128" t="s">
        <v>274</v>
      </c>
      <c r="O80" s="128" t="s">
        <v>271</v>
      </c>
      <c r="P80" s="128" t="s">
        <v>272</v>
      </c>
      <c r="Q80" s="128" t="s">
        <v>273</v>
      </c>
      <c r="R80" s="128" t="s">
        <v>274</v>
      </c>
      <c r="S80" s="128" t="s">
        <v>277</v>
      </c>
    </row>
    <row r="81" spans="1:19" s="68" customFormat="1" x14ac:dyDescent="0.25">
      <c r="D81" s="114" t="s">
        <v>252</v>
      </c>
      <c r="E81" s="13">
        <f>SUM(F43:H47)</f>
        <v>41330830.52809462</v>
      </c>
      <c r="F81" s="13">
        <f>SUM(I43:K47)</f>
        <v>5569770.8602932291</v>
      </c>
      <c r="G81" s="13">
        <f>SUM(L43:N47)</f>
        <v>1120376.9509798265</v>
      </c>
      <c r="H81" s="13">
        <f>SUM(O43:Q47)</f>
        <v>9468975719.1879272</v>
      </c>
      <c r="I81" s="114" t="s">
        <v>242</v>
      </c>
      <c r="J81" s="127">
        <f>(E82-E81)/1000</f>
        <v>-447.55656978987156</v>
      </c>
      <c r="K81" s="127">
        <f>(F82-F81)/1000</f>
        <v>-68.094606862859806</v>
      </c>
      <c r="L81" s="127">
        <f>(G82-G81)/1000</f>
        <v>-13.352869747082003</v>
      </c>
      <c r="M81" s="127">
        <f>(H82-H81)/1000000</f>
        <v>-99.242884541473387</v>
      </c>
      <c r="N81" s="114" t="s">
        <v>242</v>
      </c>
      <c r="O81" s="127">
        <f t="shared" ref="O81:R83" si="36">J81*J$97</f>
        <v>-52378.082430392409</v>
      </c>
      <c r="P81" s="127">
        <f t="shared" si="36"/>
        <v>0</v>
      </c>
      <c r="Q81" s="127">
        <f t="shared" si="36"/>
        <v>-25628.318867093134</v>
      </c>
      <c r="R81" s="127">
        <f t="shared" si="36"/>
        <v>-24390.479125635171</v>
      </c>
      <c r="S81" s="129">
        <f>SUM(O81:R81)</f>
        <v>-102396.88042312072</v>
      </c>
    </row>
    <row r="82" spans="1:19" s="68" customFormat="1" x14ac:dyDescent="0.25">
      <c r="D82" s="114" t="s">
        <v>251</v>
      </c>
      <c r="E82" s="13">
        <f>SUM(F49:H53)</f>
        <v>40883273.958304748</v>
      </c>
      <c r="F82" s="13">
        <f>SUM(I49:K53)</f>
        <v>5501676.2534303693</v>
      </c>
      <c r="G82" s="13">
        <f>SUM(L49:N53)</f>
        <v>1107024.0812327445</v>
      </c>
      <c r="H82" s="13">
        <f>SUM(O49:Q53)</f>
        <v>9369732834.6464539</v>
      </c>
      <c r="I82" s="114" t="s">
        <v>197</v>
      </c>
      <c r="J82" s="127">
        <f>(E84-E83)/1000</f>
        <v>0</v>
      </c>
      <c r="K82" s="127">
        <f>(F84-F83)/1000</f>
        <v>0</v>
      </c>
      <c r="L82" s="127">
        <f>(G84-G83)/1000</f>
        <v>0</v>
      </c>
      <c r="M82" s="127">
        <f>(H84-H83)/1000000</f>
        <v>0</v>
      </c>
      <c r="N82" s="114" t="s">
        <v>197</v>
      </c>
      <c r="O82" s="127">
        <f t="shared" si="36"/>
        <v>0</v>
      </c>
      <c r="P82" s="127">
        <f t="shared" si="36"/>
        <v>0</v>
      </c>
      <c r="Q82" s="127">
        <f t="shared" si="36"/>
        <v>0</v>
      </c>
      <c r="R82" s="127">
        <f t="shared" si="36"/>
        <v>0</v>
      </c>
      <c r="S82" s="129">
        <f>SUM(O82:R82)</f>
        <v>0</v>
      </c>
    </row>
    <row r="83" spans="1:19" s="68" customFormat="1" x14ac:dyDescent="0.25">
      <c r="D83" s="114" t="s">
        <v>255</v>
      </c>
      <c r="E83" s="13">
        <f>SUM(F55:H59)</f>
        <v>0</v>
      </c>
      <c r="F83" s="13">
        <f>SUM(I55:K59)</f>
        <v>0</v>
      </c>
      <c r="G83" s="13">
        <f>SUM(L55:N59)</f>
        <v>0</v>
      </c>
      <c r="H83" s="13">
        <f>SUM(O55:Q59)</f>
        <v>0</v>
      </c>
      <c r="I83" s="114" t="s">
        <v>200</v>
      </c>
      <c r="J83" s="127">
        <f>(E86-E85)/1000</f>
        <v>0</v>
      </c>
      <c r="K83" s="127">
        <f>(F86-F85)/1000</f>
        <v>0</v>
      </c>
      <c r="L83" s="127">
        <f>(G86-G85)/1000</f>
        <v>0</v>
      </c>
      <c r="M83" s="127">
        <f>(H86-H85)/1000000</f>
        <v>0</v>
      </c>
      <c r="N83" s="114" t="s">
        <v>200</v>
      </c>
      <c r="O83" s="127">
        <f t="shared" si="36"/>
        <v>0</v>
      </c>
      <c r="P83" s="127">
        <f t="shared" si="36"/>
        <v>0</v>
      </c>
      <c r="Q83" s="127">
        <f t="shared" si="36"/>
        <v>0</v>
      </c>
      <c r="R83" s="127">
        <f t="shared" si="36"/>
        <v>0</v>
      </c>
      <c r="S83" s="129">
        <f>SUM(O83:R83)</f>
        <v>0</v>
      </c>
    </row>
    <row r="84" spans="1:19" s="68" customFormat="1" x14ac:dyDescent="0.25">
      <c r="D84" s="114" t="s">
        <v>256</v>
      </c>
      <c r="E84" s="13">
        <f>SUM(F61:H65)</f>
        <v>0</v>
      </c>
      <c r="F84" s="13">
        <f>SUM(I61:K65)</f>
        <v>0</v>
      </c>
      <c r="G84" s="13">
        <f>SUM(L61:N65)</f>
        <v>0</v>
      </c>
      <c r="H84" s="13">
        <f>SUM(O61:Q65)</f>
        <v>0</v>
      </c>
      <c r="I84" s="114"/>
      <c r="J84" s="127"/>
      <c r="K84" s="127"/>
      <c r="L84" s="121"/>
      <c r="M84" s="13"/>
      <c r="N84" s="13"/>
      <c r="P84" s="13"/>
      <c r="Q84" s="13"/>
    </row>
    <row r="85" spans="1:19" x14ac:dyDescent="0.25">
      <c r="D85" s="114" t="s">
        <v>257</v>
      </c>
      <c r="E85" s="115">
        <f>SUM(F67:H71)</f>
        <v>0</v>
      </c>
      <c r="F85" s="115">
        <f>SUM(I67:K71)</f>
        <v>0</v>
      </c>
      <c r="G85" s="115">
        <f>SUM(L67:N71)</f>
        <v>0</v>
      </c>
      <c r="H85" s="115">
        <f>SUM(O67:Q71)</f>
        <v>0</v>
      </c>
      <c r="J85" s="128" t="s">
        <v>394</v>
      </c>
      <c r="K85" s="13"/>
      <c r="L85" s="13"/>
      <c r="N85" s="13"/>
      <c r="O85" s="128" t="s">
        <v>461</v>
      </c>
      <c r="P85" s="13"/>
      <c r="Q85" s="13"/>
      <c r="R85" s="13"/>
    </row>
    <row r="86" spans="1:19" x14ac:dyDescent="0.25">
      <c r="D86" s="114" t="s">
        <v>258</v>
      </c>
      <c r="E86" s="115">
        <f>SUM(F73:H77)</f>
        <v>0</v>
      </c>
      <c r="F86" s="115">
        <f>SUM(I73:K77)</f>
        <v>0</v>
      </c>
      <c r="G86" s="115">
        <f>SUM(L73:N77)</f>
        <v>0</v>
      </c>
      <c r="H86" s="115">
        <f>SUM(O73:Q77)</f>
        <v>0</v>
      </c>
      <c r="I86" s="405" t="s">
        <v>752</v>
      </c>
      <c r="J86" s="128" t="s">
        <v>271</v>
      </c>
      <c r="K86" s="128" t="s">
        <v>272</v>
      </c>
      <c r="L86" s="128" t="s">
        <v>273</v>
      </c>
      <c r="M86" s="128" t="s">
        <v>274</v>
      </c>
      <c r="N86" s="228"/>
      <c r="O86" s="128" t="s">
        <v>260</v>
      </c>
      <c r="P86" s="128" t="s">
        <v>261</v>
      </c>
      <c r="Q86" s="128" t="s">
        <v>262</v>
      </c>
      <c r="R86" s="128" t="s">
        <v>263</v>
      </c>
    </row>
    <row r="87" spans="1:19" s="68" customFormat="1" x14ac:dyDescent="0.25">
      <c r="D87" s="114"/>
      <c r="E87" s="115"/>
      <c r="F87" s="115"/>
      <c r="G87" s="115"/>
      <c r="H87" s="115"/>
      <c r="I87" s="131" t="str">
        <f>'Data-beregninger'!A100</f>
        <v>Annet område</v>
      </c>
      <c r="J87" s="12">
        <f>'Data-beregninger'!B100</f>
        <v>58.515599999999992</v>
      </c>
      <c r="K87" s="12"/>
      <c r="L87" s="12">
        <f>'Data-beregninger'!C100</f>
        <v>514.93727999999999</v>
      </c>
      <c r="M87" s="12">
        <f>'Data-beregninger'!D100</f>
        <v>245.76552000000001</v>
      </c>
      <c r="N87" s="114" t="s">
        <v>242</v>
      </c>
      <c r="O87" s="217">
        <f>100*(-1+E82/E81)</f>
        <v>-1.082863721999594</v>
      </c>
      <c r="P87" s="217">
        <f>100*(-1+F82/F81)</f>
        <v>-1.2225746547008698</v>
      </c>
      <c r="Q87" s="217">
        <f>100*(-1+G82/G81)</f>
        <v>-1.1918193903760921</v>
      </c>
      <c r="R87" s="217">
        <f>100*(-1+H82/H81)</f>
        <v>-1.048084687136408</v>
      </c>
    </row>
    <row r="88" spans="1:19" s="68" customFormat="1" x14ac:dyDescent="0.25">
      <c r="D88" s="114"/>
      <c r="E88" s="115"/>
      <c r="F88" s="115"/>
      <c r="G88" s="115"/>
      <c r="H88" s="115"/>
      <c r="I88" s="131" t="str">
        <f>'Data-beregninger'!A101</f>
        <v>By</v>
      </c>
      <c r="J88" s="12">
        <f>'Data-beregninger'!B101</f>
        <v>117.03119999999998</v>
      </c>
      <c r="K88" s="12"/>
      <c r="L88" s="12">
        <f>'Data-beregninger'!C101</f>
        <v>1919.31168</v>
      </c>
      <c r="M88" s="12">
        <f>'Data-beregninger'!D101</f>
        <v>245.76552000000001</v>
      </c>
      <c r="N88" s="114" t="s">
        <v>197</v>
      </c>
      <c r="O88" s="217" t="e">
        <f>100*(-1+E84/E83)</f>
        <v>#DIV/0!</v>
      </c>
      <c r="P88" s="217" t="e">
        <f>100*(-1+F84/F83)</f>
        <v>#DIV/0!</v>
      </c>
      <c r="Q88" s="217" t="e">
        <f>100*(-1+G84/G83)</f>
        <v>#DIV/0!</v>
      </c>
      <c r="R88" s="217" t="e">
        <f>100*(-1+H84/H83)</f>
        <v>#DIV/0!</v>
      </c>
    </row>
    <row r="89" spans="1:19" s="68" customFormat="1" x14ac:dyDescent="0.25">
      <c r="D89" s="114"/>
      <c r="E89" s="115"/>
      <c r="F89" s="115"/>
      <c r="G89" s="115"/>
      <c r="H89" s="115"/>
      <c r="I89" s="131" t="str">
        <f>'Data-beregninger'!A102</f>
        <v>Storby</v>
      </c>
      <c r="J89" s="12">
        <f>'Data-beregninger'!B102</f>
        <v>234.06239999999997</v>
      </c>
      <c r="K89" s="12"/>
      <c r="L89" s="12">
        <f>'Data-beregninger'!C102</f>
        <v>4213.1232</v>
      </c>
      <c r="M89" s="12">
        <f>'Data-beregninger'!D102</f>
        <v>245.76552000000001</v>
      </c>
      <c r="N89" s="114" t="s">
        <v>200</v>
      </c>
      <c r="O89" s="217" t="e">
        <f>100*(-1+E86/E85)</f>
        <v>#DIV/0!</v>
      </c>
      <c r="P89" s="217" t="e">
        <f>100*(-1+F86/F85)</f>
        <v>#DIV/0!</v>
      </c>
      <c r="Q89" s="217" t="e">
        <f>100*(-1+G86/G85)</f>
        <v>#DIV/0!</v>
      </c>
      <c r="R89" s="217" t="e">
        <f>100*(-1+H86/H85)</f>
        <v>#DIV/0!</v>
      </c>
    </row>
    <row r="90" spans="1:19" s="68" customFormat="1" x14ac:dyDescent="0.25">
      <c r="D90" s="114"/>
      <c r="E90" s="115"/>
      <c r="F90" s="115"/>
      <c r="G90" s="115"/>
      <c r="H90" s="115"/>
      <c r="I90" s="498"/>
      <c r="J90" s="498"/>
      <c r="K90" s="498"/>
      <c r="L90" s="498"/>
      <c r="M90" s="498"/>
    </row>
    <row r="91" spans="1:19" s="68" customFormat="1" x14ac:dyDescent="0.25">
      <c r="D91" s="114"/>
      <c r="E91" s="115"/>
      <c r="F91" s="115"/>
      <c r="G91" s="115"/>
      <c r="I91" s="498"/>
      <c r="J91" s="498"/>
      <c r="K91" s="498"/>
      <c r="L91" s="498"/>
      <c r="M91" s="498"/>
    </row>
    <row r="92" spans="1:19" s="68" customFormat="1" x14ac:dyDescent="0.25">
      <c r="D92" s="114"/>
      <c r="E92" s="115"/>
      <c r="F92" s="115"/>
      <c r="G92" s="115"/>
      <c r="H92" s="115"/>
      <c r="I92" s="498"/>
      <c r="J92" s="498"/>
      <c r="K92" s="498"/>
      <c r="L92" s="498"/>
      <c r="M92" s="498"/>
    </row>
    <row r="93" spans="1:19" x14ac:dyDescent="0.25">
      <c r="G93" s="110"/>
      <c r="I93" s="498"/>
      <c r="J93" s="498"/>
      <c r="K93" s="498"/>
      <c r="L93" s="498"/>
      <c r="M93" s="498"/>
    </row>
    <row r="94" spans="1:19" x14ac:dyDescent="0.25">
      <c r="A94" s="216" t="s">
        <v>370</v>
      </c>
      <c r="G94" s="110"/>
      <c r="I94" s="498"/>
      <c r="J94" s="498"/>
      <c r="K94" s="498"/>
      <c r="L94" s="498"/>
      <c r="M94" s="498"/>
    </row>
    <row r="95" spans="1:19" x14ac:dyDescent="0.25">
      <c r="A95" s="96" t="s">
        <v>265</v>
      </c>
      <c r="B95" s="5" t="str">
        <f>'3 Køvarsling'!E45</f>
        <v>By</v>
      </c>
      <c r="I95" s="498"/>
      <c r="J95" s="498"/>
      <c r="K95" s="498"/>
      <c r="L95" s="498"/>
      <c r="M95" s="498"/>
    </row>
    <row r="96" spans="1:19" x14ac:dyDescent="0.25">
      <c r="A96" s="96" t="s">
        <v>2</v>
      </c>
      <c r="B96" s="112">
        <f>'3 Køvarsling'!D46</f>
        <v>5000</v>
      </c>
      <c r="C96" s="80" t="s">
        <v>43</v>
      </c>
      <c r="D96" s="120">
        <f>B96/1000</f>
        <v>5</v>
      </c>
    </row>
    <row r="97" spans="1:14" x14ac:dyDescent="0.25">
      <c r="A97" s="96" t="s">
        <v>3</v>
      </c>
      <c r="B97" s="112">
        <f>'3 Køvarsling'!D47</f>
        <v>50000</v>
      </c>
      <c r="C97" s="80" t="s">
        <v>4</v>
      </c>
      <c r="H97" s="214" t="s">
        <v>289</v>
      </c>
      <c r="I97" s="215" t="str">
        <f>B95</f>
        <v>By</v>
      </c>
      <c r="J97" s="14">
        <f>VLOOKUP(I97,I87:M95,2)</f>
        <v>117.03119999999998</v>
      </c>
      <c r="K97" s="14"/>
      <c r="L97" s="14">
        <f>VLOOKUP(I97,I87:M95,4)</f>
        <v>1919.31168</v>
      </c>
      <c r="M97" s="14">
        <f>VLOOKUP(I97,I87:M95,5)</f>
        <v>245.76552000000001</v>
      </c>
      <c r="N97" s="177" t="s">
        <v>369</v>
      </c>
    </row>
    <row r="98" spans="1:14" s="4" customFormat="1" x14ac:dyDescent="0.25">
      <c r="A98" s="85" t="s">
        <v>243</v>
      </c>
      <c r="B98" s="122"/>
      <c r="C98" s="80"/>
      <c r="D98" s="124">
        <f>1-D102-D103</f>
        <v>0.88</v>
      </c>
      <c r="E98" s="4" t="s">
        <v>248</v>
      </c>
    </row>
    <row r="99" spans="1:14" x14ac:dyDescent="0.25">
      <c r="A99" s="96" t="s">
        <v>169</v>
      </c>
      <c r="B99" s="113">
        <f>'3 Køvarsling'!D48</f>
        <v>40</v>
      </c>
      <c r="C99" s="80" t="s">
        <v>61</v>
      </c>
      <c r="D99" s="118">
        <f>B99/100</f>
        <v>0.4</v>
      </c>
      <c r="E99" s="68" t="s">
        <v>249</v>
      </c>
    </row>
    <row r="100" spans="1:14" s="68" customFormat="1" x14ac:dyDescent="0.25">
      <c r="A100" s="85" t="s">
        <v>244</v>
      </c>
      <c r="B100" s="122"/>
      <c r="C100" s="80"/>
      <c r="D100" s="123">
        <f>D98*(1-D99)</f>
        <v>0.52800000000000002</v>
      </c>
      <c r="E100" s="4" t="s">
        <v>248</v>
      </c>
    </row>
    <row r="101" spans="1:14" s="68" customFormat="1" x14ac:dyDescent="0.25">
      <c r="A101" s="85" t="s">
        <v>245</v>
      </c>
      <c r="B101" s="122"/>
      <c r="C101" s="80"/>
      <c r="D101" s="123">
        <f>D98*D99</f>
        <v>0.35200000000000004</v>
      </c>
      <c r="E101" s="4" t="s">
        <v>248</v>
      </c>
    </row>
    <row r="102" spans="1:14" x14ac:dyDescent="0.25">
      <c r="A102" s="96" t="s">
        <v>79</v>
      </c>
      <c r="B102" s="113">
        <f>'3 Køvarsling'!D49</f>
        <v>10</v>
      </c>
      <c r="C102" s="80" t="s">
        <v>61</v>
      </c>
      <c r="D102" s="118">
        <f t="shared" ref="D102:D110" si="37">B102/100</f>
        <v>0.1</v>
      </c>
      <c r="E102" s="4" t="s">
        <v>248</v>
      </c>
      <c r="F102" s="68" t="s">
        <v>250</v>
      </c>
    </row>
    <row r="103" spans="1:14" x14ac:dyDescent="0.25">
      <c r="A103" s="96" t="s">
        <v>94</v>
      </c>
      <c r="B103" s="113">
        <f>'3 Køvarsling'!D50</f>
        <v>2</v>
      </c>
      <c r="C103" s="80" t="s">
        <v>61</v>
      </c>
      <c r="D103" s="118">
        <f t="shared" si="37"/>
        <v>0.02</v>
      </c>
      <c r="E103" s="4" t="s">
        <v>248</v>
      </c>
    </row>
    <row r="104" spans="1:14" x14ac:dyDescent="0.25">
      <c r="A104" s="96" t="s">
        <v>239</v>
      </c>
      <c r="B104" s="113">
        <f>'3 Køvarsling'!D51</f>
        <v>40</v>
      </c>
      <c r="C104" s="80" t="s">
        <v>61</v>
      </c>
      <c r="D104" s="118">
        <f t="shared" si="37"/>
        <v>0.4</v>
      </c>
      <c r="E104" s="68" t="s">
        <v>247</v>
      </c>
    </row>
    <row r="105" spans="1:14" s="68" customFormat="1" x14ac:dyDescent="0.25">
      <c r="A105" s="85" t="s">
        <v>246</v>
      </c>
      <c r="B105" s="122"/>
      <c r="C105" s="80"/>
      <c r="D105" s="123">
        <f>D103*(1-D104)</f>
        <v>1.2E-2</v>
      </c>
      <c r="E105" s="4" t="s">
        <v>248</v>
      </c>
    </row>
    <row r="106" spans="1:14" s="68" customFormat="1" x14ac:dyDescent="0.25">
      <c r="A106" s="85" t="s">
        <v>239</v>
      </c>
      <c r="B106" s="122"/>
      <c r="C106" s="80"/>
      <c r="D106" s="123">
        <f>D103*D104</f>
        <v>8.0000000000000002E-3</v>
      </c>
      <c r="E106" s="4" t="s">
        <v>248</v>
      </c>
    </row>
    <row r="107" spans="1:14" x14ac:dyDescent="0.25">
      <c r="A107" s="96" t="s">
        <v>46</v>
      </c>
      <c r="B107" s="113">
        <f>'3 Køvarsling'!D56</f>
        <v>5</v>
      </c>
      <c r="C107" s="80" t="s">
        <v>61</v>
      </c>
      <c r="D107" s="118">
        <f t="shared" si="37"/>
        <v>0.05</v>
      </c>
    </row>
    <row r="108" spans="1:14" x14ac:dyDescent="0.25">
      <c r="A108" s="96" t="s">
        <v>109</v>
      </c>
      <c r="B108" s="112">
        <f>'3 Køvarsling'!D57</f>
        <v>30</v>
      </c>
      <c r="C108" s="80" t="s">
        <v>61</v>
      </c>
      <c r="D108" s="119">
        <f t="shared" si="37"/>
        <v>0.3</v>
      </c>
    </row>
    <row r="109" spans="1:14" x14ac:dyDescent="0.25">
      <c r="A109" s="96" t="s">
        <v>111</v>
      </c>
      <c r="B109" s="113">
        <f>'3 Køvarsling'!D58</f>
        <v>0</v>
      </c>
      <c r="C109" s="80" t="s">
        <v>61</v>
      </c>
      <c r="D109" s="118">
        <f t="shared" si="37"/>
        <v>0</v>
      </c>
    </row>
    <row r="110" spans="1:14" x14ac:dyDescent="0.25">
      <c r="A110" s="96" t="s">
        <v>110</v>
      </c>
      <c r="B110" s="113">
        <f>'3 Køvarsling'!D59</f>
        <v>0</v>
      </c>
      <c r="C110" s="80" t="s">
        <v>61</v>
      </c>
      <c r="D110" s="118">
        <f t="shared" si="37"/>
        <v>0</v>
      </c>
    </row>
    <row r="111" spans="1:14" x14ac:dyDescent="0.25">
      <c r="A111" s="95" t="s">
        <v>192</v>
      </c>
      <c r="B111" s="97" t="s">
        <v>178</v>
      </c>
      <c r="C111" s="97" t="s">
        <v>179</v>
      </c>
      <c r="D111" s="87"/>
      <c r="E111" s="97" t="s">
        <v>178</v>
      </c>
      <c r="F111" s="97" t="s">
        <v>179</v>
      </c>
    </row>
    <row r="112" spans="1:14" x14ac:dyDescent="0.25">
      <c r="A112" s="96" t="s">
        <v>180</v>
      </c>
      <c r="B112" s="111">
        <f>'3 Køvarsling'!D69</f>
        <v>40</v>
      </c>
      <c r="C112" s="111">
        <f>'3 Køvarsling'!E69</f>
        <v>38</v>
      </c>
      <c r="D112" s="80" t="s">
        <v>61</v>
      </c>
      <c r="E112" s="116">
        <f t="shared" ref="E112:E123" si="38">B112/100</f>
        <v>0.4</v>
      </c>
      <c r="F112" s="116">
        <f t="shared" ref="F112:F123" si="39">C112/100</f>
        <v>0.38</v>
      </c>
    </row>
    <row r="113" spans="1:6" x14ac:dyDescent="0.25">
      <c r="A113" s="96" t="s">
        <v>181</v>
      </c>
      <c r="B113" s="111">
        <f>'3 Køvarsling'!D70</f>
        <v>60</v>
      </c>
      <c r="C113" s="111">
        <f>'3 Køvarsling'!E70</f>
        <v>62</v>
      </c>
      <c r="D113" s="80" t="s">
        <v>61</v>
      </c>
      <c r="E113" s="116">
        <f t="shared" si="38"/>
        <v>0.6</v>
      </c>
      <c r="F113" s="116">
        <f t="shared" si="39"/>
        <v>0.62</v>
      </c>
    </row>
    <row r="114" spans="1:6" x14ac:dyDescent="0.25">
      <c r="A114" s="96" t="s">
        <v>182</v>
      </c>
      <c r="B114" s="99">
        <f>'3 Køvarsling'!D71</f>
        <v>0</v>
      </c>
      <c r="C114" s="99">
        <f>'3 Køvarsling'!E71</f>
        <v>0</v>
      </c>
      <c r="D114" s="80" t="s">
        <v>61</v>
      </c>
      <c r="E114" s="98">
        <f t="shared" si="38"/>
        <v>0</v>
      </c>
      <c r="F114" s="98">
        <f t="shared" si="39"/>
        <v>0</v>
      </c>
    </row>
    <row r="115" spans="1:6" x14ac:dyDescent="0.25">
      <c r="A115" s="96" t="s">
        <v>189</v>
      </c>
      <c r="B115" s="112">
        <f>'3 Køvarsling'!D72</f>
        <v>82</v>
      </c>
      <c r="C115" s="111">
        <f>'3 Køvarsling'!E72</f>
        <v>82</v>
      </c>
      <c r="D115" s="80" t="s">
        <v>115</v>
      </c>
      <c r="E115" s="116">
        <f t="shared" si="38"/>
        <v>0.82</v>
      </c>
      <c r="F115" s="116">
        <f t="shared" si="39"/>
        <v>0.82</v>
      </c>
    </row>
    <row r="116" spans="1:6" x14ac:dyDescent="0.25">
      <c r="A116" s="96" t="s">
        <v>183</v>
      </c>
      <c r="B116" s="86">
        <f>'3 Køvarsling'!D73</f>
        <v>0</v>
      </c>
      <c r="C116" s="86">
        <f>'3 Køvarsling'!E73</f>
        <v>0</v>
      </c>
      <c r="D116" s="80" t="s">
        <v>61</v>
      </c>
      <c r="E116" s="117">
        <f t="shared" si="38"/>
        <v>0</v>
      </c>
      <c r="F116" s="117">
        <f t="shared" si="39"/>
        <v>0</v>
      </c>
    </row>
    <row r="117" spans="1:6" x14ac:dyDescent="0.25">
      <c r="A117" s="96" t="s">
        <v>184</v>
      </c>
      <c r="B117" s="86">
        <f>'3 Køvarsling'!D74</f>
        <v>0</v>
      </c>
      <c r="C117" s="86">
        <f>'3 Køvarsling'!E74</f>
        <v>0</v>
      </c>
      <c r="D117" s="80" t="s">
        <v>61</v>
      </c>
      <c r="E117" s="117">
        <f t="shared" si="38"/>
        <v>0</v>
      </c>
      <c r="F117" s="117">
        <f t="shared" si="39"/>
        <v>0</v>
      </c>
    </row>
    <row r="118" spans="1:6" x14ac:dyDescent="0.25">
      <c r="A118" s="96" t="s">
        <v>185</v>
      </c>
      <c r="B118" s="99">
        <f>'3 Køvarsling'!D75</f>
        <v>100</v>
      </c>
      <c r="C118" s="99">
        <f>'3 Køvarsling'!E75</f>
        <v>100</v>
      </c>
      <c r="D118" s="80" t="s">
        <v>61</v>
      </c>
      <c r="E118" s="98">
        <f t="shared" si="38"/>
        <v>1</v>
      </c>
      <c r="F118" s="98">
        <f t="shared" si="39"/>
        <v>1</v>
      </c>
    </row>
    <row r="119" spans="1:6" x14ac:dyDescent="0.25">
      <c r="A119" s="96" t="s">
        <v>190</v>
      </c>
      <c r="B119" s="113">
        <f>'3 Køvarsling'!D76</f>
        <v>0</v>
      </c>
      <c r="C119" s="86">
        <f>'3 Køvarsling'!E76</f>
        <v>0</v>
      </c>
      <c r="D119" s="80" t="s">
        <v>115</v>
      </c>
      <c r="E119" s="117">
        <f t="shared" si="38"/>
        <v>0</v>
      </c>
      <c r="F119" s="117">
        <f t="shared" si="39"/>
        <v>0</v>
      </c>
    </row>
    <row r="120" spans="1:6" x14ac:dyDescent="0.25">
      <c r="A120" s="96" t="s">
        <v>186</v>
      </c>
      <c r="B120" s="86">
        <f>'3 Køvarsling'!D77</f>
        <v>0</v>
      </c>
      <c r="C120" s="86">
        <f>'3 Køvarsling'!E77</f>
        <v>0</v>
      </c>
      <c r="D120" s="80" t="s">
        <v>61</v>
      </c>
      <c r="E120" s="117">
        <f t="shared" si="38"/>
        <v>0</v>
      </c>
      <c r="F120" s="117">
        <f t="shared" si="39"/>
        <v>0</v>
      </c>
    </row>
    <row r="121" spans="1:6" x14ac:dyDescent="0.25">
      <c r="A121" s="96" t="s">
        <v>187</v>
      </c>
      <c r="B121" s="86">
        <f>'3 Køvarsling'!D78</f>
        <v>0</v>
      </c>
      <c r="C121" s="86">
        <f>'3 Køvarsling'!E78</f>
        <v>0</v>
      </c>
      <c r="D121" s="80" t="s">
        <v>61</v>
      </c>
      <c r="E121" s="117">
        <f t="shared" si="38"/>
        <v>0</v>
      </c>
      <c r="F121" s="117">
        <f t="shared" si="39"/>
        <v>0</v>
      </c>
    </row>
    <row r="122" spans="1:6" x14ac:dyDescent="0.25">
      <c r="A122" s="96" t="s">
        <v>188</v>
      </c>
      <c r="B122" s="99">
        <f>'3 Køvarsling'!D79</f>
        <v>100</v>
      </c>
      <c r="C122" s="99">
        <f>'3 Køvarsling'!E79</f>
        <v>100</v>
      </c>
      <c r="D122" s="80" t="s">
        <v>61</v>
      </c>
      <c r="E122" s="98">
        <f t="shared" si="38"/>
        <v>1</v>
      </c>
      <c r="F122" s="98">
        <f t="shared" si="39"/>
        <v>1</v>
      </c>
    </row>
    <row r="123" spans="1:6" x14ac:dyDescent="0.25">
      <c r="A123" s="96" t="s">
        <v>191</v>
      </c>
      <c r="B123" s="113">
        <f>'3 Køvarsling'!D80</f>
        <v>0</v>
      </c>
      <c r="C123" s="86">
        <f>'3 Køvarsling'!E80</f>
        <v>0</v>
      </c>
      <c r="D123" s="80" t="s">
        <v>115</v>
      </c>
      <c r="E123" s="117">
        <f t="shared" si="38"/>
        <v>0</v>
      </c>
      <c r="F123" s="117">
        <f t="shared" si="39"/>
        <v>0</v>
      </c>
    </row>
  </sheetData>
  <autoFilter ref="A4:Q39">
    <filterColumn colId="2">
      <colorFilter dxfId="1"/>
    </filterColumn>
  </autoFilter>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filterMode="1">
    <tabColor rgb="FF92D050"/>
  </sheetPr>
  <dimension ref="A1:S123"/>
  <sheetViews>
    <sheetView workbookViewId="0">
      <pane xSplit="4" ySplit="4" topLeftCell="E71" activePane="bottomRight" state="frozen"/>
      <selection activeCell="E82" sqref="E82"/>
      <selection pane="topRight" activeCell="E82" sqref="E82"/>
      <selection pane="bottomLeft" activeCell="E82" sqref="E82"/>
      <selection pane="bottomRight" activeCell="E82" sqref="E82"/>
    </sheetView>
  </sheetViews>
  <sheetFormatPr baseColWidth="10" defaultRowHeight="15" x14ac:dyDescent="0.25"/>
  <cols>
    <col min="1" max="1" width="27.42578125" style="228" bestFit="1" customWidth="1"/>
    <col min="2" max="4" width="11.42578125" style="228"/>
    <col min="5" max="5" width="11.7109375" style="228" bestFit="1" customWidth="1"/>
    <col min="6" max="6" width="12.7109375" style="228" bestFit="1" customWidth="1"/>
    <col min="7" max="7" width="11.5703125" style="228" bestFit="1" customWidth="1"/>
    <col min="8" max="8" width="14.85546875" style="228" customWidth="1"/>
    <col min="9" max="14" width="11.5703125" style="228" bestFit="1" customWidth="1"/>
    <col min="15" max="17" width="13.5703125" style="228" bestFit="1" customWidth="1"/>
    <col min="18" max="16384" width="11.42578125" style="228"/>
  </cols>
  <sheetData>
    <row r="1" spans="1:17" x14ac:dyDescent="0.25">
      <c r="A1" s="102" t="s">
        <v>459</v>
      </c>
      <c r="B1" s="101"/>
      <c r="C1" s="101"/>
      <c r="D1" s="101"/>
      <c r="E1" s="101"/>
      <c r="F1" s="101"/>
      <c r="G1" s="101"/>
      <c r="H1" s="101"/>
      <c r="I1" s="101"/>
      <c r="J1" s="101"/>
      <c r="K1" s="101"/>
      <c r="L1" s="101"/>
      <c r="M1" s="101"/>
      <c r="N1" s="3"/>
      <c r="O1" s="3"/>
      <c r="P1" s="3"/>
      <c r="Q1" s="3"/>
    </row>
    <row r="2" spans="1:17" x14ac:dyDescent="0.25">
      <c r="F2" s="1" t="s">
        <v>204</v>
      </c>
    </row>
    <row r="3" spans="1:17" x14ac:dyDescent="0.25">
      <c r="A3" s="17"/>
      <c r="B3" s="17"/>
      <c r="C3" s="17"/>
      <c r="D3" s="17"/>
      <c r="E3" s="17"/>
      <c r="F3" s="17" t="s">
        <v>205</v>
      </c>
      <c r="G3" s="17"/>
      <c r="H3" s="17"/>
      <c r="I3" s="17" t="s">
        <v>206</v>
      </c>
      <c r="J3" s="17"/>
      <c r="K3" s="17"/>
      <c r="L3" s="17" t="s">
        <v>207</v>
      </c>
      <c r="M3" s="17"/>
      <c r="N3" s="17"/>
      <c r="O3" s="17" t="s">
        <v>208</v>
      </c>
      <c r="P3" s="17"/>
      <c r="Q3" s="17"/>
    </row>
    <row r="4" spans="1:17" x14ac:dyDescent="0.25">
      <c r="A4" s="8"/>
      <c r="B4" s="8" t="s">
        <v>209</v>
      </c>
      <c r="C4" s="8"/>
      <c r="D4" s="8"/>
      <c r="E4" s="8"/>
      <c r="F4" s="8" t="s">
        <v>210</v>
      </c>
      <c r="G4" s="8" t="s">
        <v>211</v>
      </c>
      <c r="H4" s="8" t="s">
        <v>212</v>
      </c>
      <c r="I4" s="8" t="s">
        <v>210</v>
      </c>
      <c r="J4" s="8" t="s">
        <v>211</v>
      </c>
      <c r="K4" s="8" t="s">
        <v>212</v>
      </c>
      <c r="L4" s="8" t="s">
        <v>210</v>
      </c>
      <c r="M4" s="8" t="s">
        <v>211</v>
      </c>
      <c r="N4" s="8" t="s">
        <v>212</v>
      </c>
      <c r="O4" s="8" t="s">
        <v>210</v>
      </c>
      <c r="P4" s="8" t="s">
        <v>211</v>
      </c>
      <c r="Q4" s="8" t="s">
        <v>212</v>
      </c>
    </row>
    <row r="5" spans="1:17" hidden="1" x14ac:dyDescent="0.25">
      <c r="A5" s="1" t="s">
        <v>213</v>
      </c>
      <c r="B5" s="74">
        <v>13.4</v>
      </c>
      <c r="C5" s="228" t="s">
        <v>214</v>
      </c>
      <c r="D5" s="228" t="s">
        <v>215</v>
      </c>
      <c r="F5" s="103">
        <v>1.3627113103866577</v>
      </c>
      <c r="G5" s="103">
        <v>0.92457461357116699</v>
      </c>
      <c r="H5" s="103">
        <v>0.77949333190917969</v>
      </c>
      <c r="I5" s="103">
        <v>6.9020718336105347E-2</v>
      </c>
      <c r="J5" s="103">
        <v>3.9573781192302704E-2</v>
      </c>
      <c r="K5" s="103">
        <v>4.0829800069332123E-2</v>
      </c>
      <c r="L5" s="103">
        <v>5.0029768608510494E-3</v>
      </c>
      <c r="M5" s="103">
        <v>3.7292253691703081E-3</v>
      </c>
      <c r="N5" s="103">
        <v>2.3194835521280766E-3</v>
      </c>
      <c r="O5" s="103">
        <v>395.25454711914062</v>
      </c>
      <c r="P5" s="103">
        <v>229.31460571289062</v>
      </c>
      <c r="Q5" s="103">
        <v>163.28004455566406</v>
      </c>
    </row>
    <row r="6" spans="1:17" hidden="1" x14ac:dyDescent="0.25">
      <c r="B6" s="104">
        <f>2011-B5</f>
        <v>1997.6</v>
      </c>
      <c r="C6" s="228" t="s">
        <v>216</v>
      </c>
      <c r="D6" s="228" t="s">
        <v>217</v>
      </c>
      <c r="F6" s="103">
        <v>1.2209593057632446</v>
      </c>
      <c r="G6" s="103">
        <v>0.70005452632904053</v>
      </c>
      <c r="H6" s="103">
        <v>0.5516277551651001</v>
      </c>
      <c r="I6" s="103">
        <v>6.1047967523336411E-2</v>
      </c>
      <c r="J6" s="103">
        <v>3.2416652888059616E-2</v>
      </c>
      <c r="K6" s="103">
        <v>2.7581389993429184E-2</v>
      </c>
      <c r="L6" s="103">
        <v>4.550000187009573E-3</v>
      </c>
      <c r="M6" s="103">
        <v>3.4000000450760126E-3</v>
      </c>
      <c r="N6" s="103">
        <v>2.099999925121665E-3</v>
      </c>
      <c r="O6" s="103">
        <v>403.15249633789062</v>
      </c>
      <c r="P6" s="103">
        <v>233.896728515625</v>
      </c>
      <c r="Q6" s="103">
        <v>166.54266357421875</v>
      </c>
    </row>
    <row r="7" spans="1:17" hidden="1" x14ac:dyDescent="0.25">
      <c r="B7" s="15"/>
      <c r="C7" s="4" t="s">
        <v>218</v>
      </c>
      <c r="D7" s="4" t="s">
        <v>219</v>
      </c>
      <c r="E7" s="4"/>
      <c r="F7" s="105">
        <v>0.86924397945404053</v>
      </c>
      <c r="G7" s="105">
        <v>0.48756122589111328</v>
      </c>
      <c r="H7" s="105">
        <v>0.21698443591594696</v>
      </c>
      <c r="I7" s="105">
        <v>4.3462201952934265E-2</v>
      </c>
      <c r="J7" s="105">
        <v>2.1763850003480911E-2</v>
      </c>
      <c r="K7" s="105">
        <v>1.0849221609532833E-2</v>
      </c>
      <c r="L7" s="105">
        <v>4.889999981969595E-3</v>
      </c>
      <c r="M7" s="105">
        <v>4.19999985024333E-3</v>
      </c>
      <c r="N7" s="105">
        <v>2.6199999265372753E-3</v>
      </c>
      <c r="O7" s="105">
        <v>371.68862915039062</v>
      </c>
      <c r="P7" s="105">
        <v>215.64236450195312</v>
      </c>
      <c r="Q7" s="105">
        <v>153.544921875</v>
      </c>
    </row>
    <row r="8" spans="1:17" x14ac:dyDescent="0.25">
      <c r="A8" s="1" t="str">
        <f>A5</f>
        <v>Personbiler - bensin</v>
      </c>
      <c r="B8" s="15"/>
      <c r="C8" s="106" t="s">
        <v>220</v>
      </c>
      <c r="D8" s="106" t="s">
        <v>221</v>
      </c>
      <c r="E8" s="106"/>
      <c r="F8" s="107">
        <v>0.16671845316886902</v>
      </c>
      <c r="G8" s="107">
        <v>9.117899090051651E-2</v>
      </c>
      <c r="H8" s="107">
        <v>3.6449998617172241E-2</v>
      </c>
      <c r="I8" s="107">
        <v>8.3802603185176849E-3</v>
      </c>
      <c r="J8" s="107">
        <v>4.0557710453867912E-3</v>
      </c>
      <c r="K8" s="107">
        <v>1.8225000239908695E-3</v>
      </c>
      <c r="L8" s="107">
        <v>2.7799999807029963E-3</v>
      </c>
      <c r="M8" s="107">
        <v>1.9399999873712659E-3</v>
      </c>
      <c r="N8" s="107">
        <v>1.2200000928714871E-3</v>
      </c>
      <c r="O8" s="107">
        <v>360.43310546875</v>
      </c>
      <c r="P8" s="107">
        <v>209.11225891113281</v>
      </c>
      <c r="Q8" s="107">
        <v>148.89524841308594</v>
      </c>
    </row>
    <row r="9" spans="1:17" hidden="1" x14ac:dyDescent="0.25">
      <c r="A9" s="1"/>
      <c r="B9" s="15"/>
      <c r="C9" s="228" t="s">
        <v>222</v>
      </c>
      <c r="D9" s="228" t="s">
        <v>223</v>
      </c>
      <c r="F9" s="103">
        <v>9.5004960894584656E-2</v>
      </c>
      <c r="G9" s="103">
        <v>7.154335081577301E-2</v>
      </c>
      <c r="H9" s="103">
        <v>3.4609999507665634E-2</v>
      </c>
      <c r="I9" s="103">
        <v>5.6768874637782574E-3</v>
      </c>
      <c r="J9" s="103">
        <v>2.9337215237319469E-3</v>
      </c>
      <c r="K9" s="103">
        <v>1.7304999055340886E-3</v>
      </c>
      <c r="L9" s="103">
        <v>1.0400000028312206E-3</v>
      </c>
      <c r="M9" s="103">
        <v>6.6000001970678568E-4</v>
      </c>
      <c r="N9" s="103">
        <v>6.99999975040555E-4</v>
      </c>
      <c r="O9" s="103">
        <v>346.46380615234375</v>
      </c>
      <c r="P9" s="103">
        <v>201.0076904296875</v>
      </c>
      <c r="Q9" s="103">
        <v>143.12452697753906</v>
      </c>
    </row>
    <row r="10" spans="1:17" hidden="1" x14ac:dyDescent="0.25">
      <c r="A10" s="1"/>
      <c r="B10" s="15"/>
      <c r="C10" s="228" t="s">
        <v>224</v>
      </c>
      <c r="D10" s="228" t="s">
        <v>225</v>
      </c>
      <c r="F10" s="103">
        <v>8.7930001318454742E-2</v>
      </c>
      <c r="G10" s="103">
        <v>6.7079998552799225E-2</v>
      </c>
      <c r="H10" s="103">
        <v>3.3819999545812607E-2</v>
      </c>
      <c r="I10" s="103">
        <v>4.3965000659227371E-3</v>
      </c>
      <c r="J10" s="103">
        <v>2.4550000671297312E-3</v>
      </c>
      <c r="K10" s="103">
        <v>1.6910000704228878E-3</v>
      </c>
      <c r="L10" s="103">
        <v>8.699999307282269E-4</v>
      </c>
      <c r="M10" s="103">
        <v>5.6000001495704055E-4</v>
      </c>
      <c r="N10" s="103">
        <v>6.3000002410262823E-4</v>
      </c>
      <c r="O10" s="103">
        <v>321.98199462890625</v>
      </c>
      <c r="P10" s="103">
        <v>186.80409240722656</v>
      </c>
      <c r="Q10" s="103">
        <v>133.01106262207031</v>
      </c>
    </row>
    <row r="11" spans="1:17" hidden="1" x14ac:dyDescent="0.25">
      <c r="A11" s="8"/>
      <c r="B11" s="108"/>
      <c r="C11" s="7" t="s">
        <v>226</v>
      </c>
      <c r="D11" s="7" t="s">
        <v>227</v>
      </c>
      <c r="E11" s="7"/>
      <c r="F11" s="109">
        <v>8.3760000765323639E-2</v>
      </c>
      <c r="G11" s="109">
        <v>6.3440002501010895E-2</v>
      </c>
      <c r="H11" s="109">
        <v>3.1720001250505447E-2</v>
      </c>
      <c r="I11" s="109">
        <v>4.1880002245306969E-3</v>
      </c>
      <c r="J11" s="109">
        <v>2.3250000085681677E-3</v>
      </c>
      <c r="K11" s="109">
        <v>1.5860000858083367E-3</v>
      </c>
      <c r="L11" s="109">
        <v>8.900000830180943E-4</v>
      </c>
      <c r="M11" s="109">
        <v>7.2000001091510057E-4</v>
      </c>
      <c r="N11" s="109">
        <v>4.6000001020729542E-4</v>
      </c>
      <c r="O11" s="109">
        <v>313.520263671875</v>
      </c>
      <c r="P11" s="109">
        <v>181.89486694335937</v>
      </c>
      <c r="Q11" s="109">
        <v>129.51551818847656</v>
      </c>
    </row>
    <row r="12" spans="1:17" hidden="1" x14ac:dyDescent="0.25">
      <c r="A12" s="1" t="s">
        <v>228</v>
      </c>
      <c r="B12" s="74">
        <v>6</v>
      </c>
      <c r="C12" s="228" t="s">
        <v>214</v>
      </c>
      <c r="D12" s="228" t="s">
        <v>215</v>
      </c>
      <c r="F12" s="103">
        <v>1.0281492471694946</v>
      </c>
      <c r="G12" s="103">
        <v>0.72052699327468872</v>
      </c>
      <c r="H12" s="103">
        <v>0.52422833442687988</v>
      </c>
      <c r="I12" s="103">
        <v>8.3033278584480286E-2</v>
      </c>
      <c r="J12" s="103">
        <v>5.8707159012556076E-2</v>
      </c>
      <c r="K12" s="103">
        <v>4.3356362730264664E-2</v>
      </c>
      <c r="L12" s="103">
        <v>0.21852892637252808</v>
      </c>
      <c r="M12" s="103">
        <v>0.12349797785282135</v>
      </c>
      <c r="N12" s="103">
        <v>9.6047408878803253E-2</v>
      </c>
      <c r="O12" s="103">
        <v>296.63320922851563</v>
      </c>
      <c r="P12" s="103">
        <v>182.11631774902344</v>
      </c>
      <c r="Q12" s="103">
        <v>129.69363403320312</v>
      </c>
    </row>
    <row r="13" spans="1:17" hidden="1" x14ac:dyDescent="0.25">
      <c r="A13" s="1"/>
      <c r="B13" s="104">
        <f>2011-B12</f>
        <v>2005</v>
      </c>
      <c r="C13" s="228" t="s">
        <v>216</v>
      </c>
      <c r="D13" s="228" t="s">
        <v>217</v>
      </c>
      <c r="F13" s="103">
        <v>0.94763004779815674</v>
      </c>
      <c r="G13" s="103">
        <v>0.66352003812789917</v>
      </c>
      <c r="H13" s="103">
        <v>0.46724000573158264</v>
      </c>
      <c r="I13" s="103">
        <v>7.5810395181179047E-2</v>
      </c>
      <c r="J13" s="103">
        <v>5.308159813284874E-2</v>
      </c>
      <c r="K13" s="103">
        <v>3.7379197776317596E-2</v>
      </c>
      <c r="L13" s="103">
        <v>0.1788800060749054</v>
      </c>
      <c r="M13" s="103">
        <v>0.11308000981807709</v>
      </c>
      <c r="N13" s="103">
        <v>0.10002999752759933</v>
      </c>
      <c r="O13" s="103">
        <v>257.46786499023437</v>
      </c>
      <c r="P13" s="103">
        <v>158.07096862792969</v>
      </c>
      <c r="Q13" s="103">
        <v>112.56980133056641</v>
      </c>
    </row>
    <row r="14" spans="1:17" hidden="1" x14ac:dyDescent="0.25">
      <c r="A14" s="1"/>
      <c r="C14" s="228" t="s">
        <v>218</v>
      </c>
      <c r="D14" s="228" t="s">
        <v>219</v>
      </c>
      <c r="F14" s="103">
        <v>1.070889949798584</v>
      </c>
      <c r="G14" s="103">
        <v>0.70928996801376343</v>
      </c>
      <c r="H14" s="103">
        <v>0.50891995429992676</v>
      </c>
      <c r="I14" s="103">
        <v>0.11795474588871002</v>
      </c>
      <c r="J14" s="103">
        <v>7.8125797212123871E-2</v>
      </c>
      <c r="K14" s="103">
        <v>5.6055743247270584E-2</v>
      </c>
      <c r="L14" s="103">
        <v>0.14352235198020935</v>
      </c>
      <c r="M14" s="103">
        <v>8.0414518713951111E-2</v>
      </c>
      <c r="N14" s="103">
        <v>7.2496034204959869E-2</v>
      </c>
      <c r="O14" s="103">
        <v>272.70037841796875</v>
      </c>
      <c r="P14" s="103">
        <v>167.42300415039062</v>
      </c>
      <c r="Q14" s="103">
        <v>119.23002624511719</v>
      </c>
    </row>
    <row r="15" spans="1:17" hidden="1" x14ac:dyDescent="0.25">
      <c r="A15" s="1"/>
      <c r="C15" s="228" t="s">
        <v>220</v>
      </c>
      <c r="D15" s="228" t="s">
        <v>221</v>
      </c>
      <c r="F15" s="103">
        <v>0.97344005107879639</v>
      </c>
      <c r="G15" s="103">
        <v>0.70854991674423218</v>
      </c>
      <c r="H15" s="103">
        <v>0.4925999641418457</v>
      </c>
      <c r="I15" s="103">
        <v>0.33859607577323914</v>
      </c>
      <c r="J15" s="103">
        <v>0.24645818769931793</v>
      </c>
      <c r="K15" s="103">
        <v>0.17134331166744232</v>
      </c>
      <c r="L15" s="103">
        <v>5.2272304892539978E-2</v>
      </c>
      <c r="M15" s="103">
        <v>3.7293631583452225E-2</v>
      </c>
      <c r="N15" s="103">
        <v>2.8634244576096535E-2</v>
      </c>
      <c r="O15" s="103">
        <v>283.95916748046875</v>
      </c>
      <c r="P15" s="103">
        <v>174.33515930175781</v>
      </c>
      <c r="Q15" s="103">
        <v>124.15229034423828</v>
      </c>
    </row>
    <row r="16" spans="1:17" x14ac:dyDescent="0.25">
      <c r="A16" s="1" t="str">
        <f>A12</f>
        <v>Personbiler - diesel</v>
      </c>
      <c r="C16" s="106" t="s">
        <v>222</v>
      </c>
      <c r="D16" s="106" t="s">
        <v>223</v>
      </c>
      <c r="E16" s="106"/>
      <c r="F16" s="107">
        <v>1.0107699632644653</v>
      </c>
      <c r="G16" s="107">
        <v>0.52052998542785645</v>
      </c>
      <c r="H16" s="107">
        <v>0.33783000707626343</v>
      </c>
      <c r="I16" s="107">
        <v>0.46348720788955688</v>
      </c>
      <c r="J16" s="107">
        <v>0.23868833482265472</v>
      </c>
      <c r="K16" s="107">
        <v>0.15491150319576263</v>
      </c>
      <c r="L16" s="107">
        <v>3.1384173780679703E-2</v>
      </c>
      <c r="M16" s="107">
        <v>1.733320951461792E-2</v>
      </c>
      <c r="N16" s="107">
        <v>1.2256374582648277E-2</v>
      </c>
      <c r="O16" s="107">
        <v>264.22787475585937</v>
      </c>
      <c r="P16" s="107">
        <v>162.22120666503906</v>
      </c>
      <c r="Q16" s="107">
        <v>115.525390625</v>
      </c>
    </row>
    <row r="17" spans="1:17" hidden="1" x14ac:dyDescent="0.25">
      <c r="A17" s="1"/>
      <c r="C17" s="228" t="s">
        <v>224</v>
      </c>
      <c r="D17" s="228" t="s">
        <v>225</v>
      </c>
      <c r="F17" s="103">
        <v>0.99962997436523438</v>
      </c>
      <c r="G17" s="103">
        <v>0.5234600305557251</v>
      </c>
      <c r="H17" s="103">
        <v>0.33483999967575073</v>
      </c>
      <c r="I17" s="103">
        <v>0.3498704731464386</v>
      </c>
      <c r="J17" s="103">
        <v>0.18321098387241364</v>
      </c>
      <c r="K17" s="103">
        <v>0.11719399690628052</v>
      </c>
      <c r="L17" s="103">
        <v>4.2699999175965786E-3</v>
      </c>
      <c r="M17" s="103">
        <v>1.6599999507889152E-3</v>
      </c>
      <c r="N17" s="103">
        <v>1.0400000028312206E-3</v>
      </c>
      <c r="O17" s="103">
        <v>242.42999267578125</v>
      </c>
      <c r="P17" s="103">
        <v>148.83854675292969</v>
      </c>
      <c r="Q17" s="103">
        <v>105.99495697021484</v>
      </c>
    </row>
    <row r="18" spans="1:17" hidden="1" x14ac:dyDescent="0.25">
      <c r="A18" s="8"/>
      <c r="B18" s="7"/>
      <c r="C18" s="7" t="s">
        <v>226</v>
      </c>
      <c r="D18" s="7" t="s">
        <v>227</v>
      </c>
      <c r="E18" s="7"/>
      <c r="F18" s="109">
        <v>0.35493999719619751</v>
      </c>
      <c r="G18" s="109">
        <v>0.18792001903057098</v>
      </c>
      <c r="H18" s="109">
        <v>0.11893000453710556</v>
      </c>
      <c r="I18" s="109">
        <v>0.10648201406002045</v>
      </c>
      <c r="J18" s="109">
        <v>5.4621003568172455E-2</v>
      </c>
      <c r="K18" s="109">
        <v>3.5679001361131668E-2</v>
      </c>
      <c r="L18" s="109">
        <v>4.2699999175965786E-3</v>
      </c>
      <c r="M18" s="109">
        <v>1.6599999507889152E-3</v>
      </c>
      <c r="N18" s="109">
        <v>1.0400000028312206E-3</v>
      </c>
      <c r="O18" s="109">
        <v>235.05888366699219</v>
      </c>
      <c r="P18" s="109">
        <v>144.31309509277344</v>
      </c>
      <c r="Q18" s="109">
        <v>102.77216339111328</v>
      </c>
    </row>
    <row r="19" spans="1:17" hidden="1" x14ac:dyDescent="0.25">
      <c r="A19" s="1" t="s">
        <v>229</v>
      </c>
      <c r="B19" s="74">
        <v>10.5</v>
      </c>
      <c r="C19" s="228" t="s">
        <v>214</v>
      </c>
      <c r="D19" s="228" t="s">
        <v>215</v>
      </c>
      <c r="F19" s="103">
        <v>23.472021102905273</v>
      </c>
      <c r="G19" s="103">
        <v>14.534084320068359</v>
      </c>
      <c r="H19" s="103">
        <v>10.99063777923584</v>
      </c>
      <c r="I19" s="103">
        <v>1.7097938060760498</v>
      </c>
      <c r="J19" s="103">
        <v>1.0587195158004761</v>
      </c>
      <c r="K19" s="103">
        <v>0.80060100555419922</v>
      </c>
      <c r="L19" s="103">
        <v>1.4800416231155396</v>
      </c>
      <c r="M19" s="103">
        <v>0.74039828777313232</v>
      </c>
      <c r="N19" s="103">
        <v>0.39988100528717041</v>
      </c>
      <c r="O19" s="103">
        <v>1746.113525390625</v>
      </c>
      <c r="P19" s="103">
        <v>1049.8155517578125</v>
      </c>
      <c r="Q19" s="103">
        <v>716.260986328125</v>
      </c>
    </row>
    <row r="20" spans="1:17" hidden="1" x14ac:dyDescent="0.25">
      <c r="A20" s="1"/>
      <c r="B20" s="104">
        <f>2011-B19</f>
        <v>2000.5</v>
      </c>
      <c r="C20" s="228" t="s">
        <v>216</v>
      </c>
      <c r="D20" s="228" t="s">
        <v>230</v>
      </c>
      <c r="F20" s="103">
        <v>15.07715892791748</v>
      </c>
      <c r="G20" s="103">
        <v>9.129176139831543</v>
      </c>
      <c r="H20" s="103">
        <v>6.7970824241638184</v>
      </c>
      <c r="I20" s="103">
        <v>1.0982792377471924</v>
      </c>
      <c r="J20" s="103">
        <v>0.66500496864318848</v>
      </c>
      <c r="K20" s="103">
        <v>0.49512606859207153</v>
      </c>
      <c r="L20" s="103">
        <v>0.64644718170166016</v>
      </c>
      <c r="M20" s="103">
        <v>0.37006348371505737</v>
      </c>
      <c r="N20" s="103">
        <v>0.2235710620880127</v>
      </c>
      <c r="O20" s="103">
        <v>1427.2403564453125</v>
      </c>
      <c r="P20" s="103">
        <v>852.19622802734375</v>
      </c>
      <c r="Q20" s="103">
        <v>620.38360595703125</v>
      </c>
    </row>
    <row r="21" spans="1:17" hidden="1" x14ac:dyDescent="0.25">
      <c r="A21" s="1"/>
      <c r="C21" s="228" t="s">
        <v>218</v>
      </c>
      <c r="D21" s="228" t="s">
        <v>231</v>
      </c>
      <c r="F21" s="103">
        <v>16.514331817626953</v>
      </c>
      <c r="G21" s="103">
        <v>9.9666175842285156</v>
      </c>
      <c r="H21" s="103">
        <v>7.1976470947265625</v>
      </c>
      <c r="I21" s="103">
        <v>1.1772711277008057</v>
      </c>
      <c r="J21" s="103">
        <v>0.71049875020980835</v>
      </c>
      <c r="K21" s="103">
        <v>0.51310479640960693</v>
      </c>
      <c r="L21" s="103">
        <v>0.31667500734329224</v>
      </c>
      <c r="M21" s="103">
        <v>0.18597646057605743</v>
      </c>
      <c r="N21" s="103">
        <v>0.11994417756795883</v>
      </c>
      <c r="O21" s="103">
        <v>1356.5184326171875</v>
      </c>
      <c r="P21" s="103">
        <v>830.384033203125</v>
      </c>
      <c r="Q21" s="103">
        <v>617.1051025390625</v>
      </c>
    </row>
    <row r="22" spans="1:17" x14ac:dyDescent="0.25">
      <c r="A22" s="1" t="str">
        <f>A19</f>
        <v>Bybuss - diesel</v>
      </c>
      <c r="C22" s="106" t="s">
        <v>220</v>
      </c>
      <c r="D22" s="106" t="s">
        <v>232</v>
      </c>
      <c r="E22" s="106"/>
      <c r="F22" s="107">
        <v>16.441600799560547</v>
      </c>
      <c r="G22" s="107">
        <v>8.3447198867797852</v>
      </c>
      <c r="H22" s="107">
        <v>5.5079631805419922</v>
      </c>
      <c r="I22" s="107">
        <v>1.1678503751754761</v>
      </c>
      <c r="J22" s="107">
        <v>0.59272724390029907</v>
      </c>
      <c r="K22" s="107">
        <v>0.39123174548149109</v>
      </c>
      <c r="L22" s="107">
        <v>0.29985788464546204</v>
      </c>
      <c r="M22" s="107">
        <v>0.19640746712684631</v>
      </c>
      <c r="N22" s="107">
        <v>0.11022823303937912</v>
      </c>
      <c r="O22" s="107">
        <v>1420.8663330078125</v>
      </c>
      <c r="P22" s="107">
        <v>880.60333251953125</v>
      </c>
      <c r="Q22" s="107">
        <v>640.7647705078125</v>
      </c>
    </row>
    <row r="23" spans="1:17" hidden="1" x14ac:dyDescent="0.25">
      <c r="A23" s="1"/>
      <c r="C23" s="228" t="s">
        <v>222</v>
      </c>
      <c r="D23" s="228" t="s">
        <v>233</v>
      </c>
      <c r="F23" s="103">
        <v>12.866442680358887</v>
      </c>
      <c r="G23" s="103">
        <v>7.3868069648742676</v>
      </c>
      <c r="H23" s="103">
        <v>3.7298588752746582</v>
      </c>
      <c r="I23" s="103">
        <v>1.5350265502929687</v>
      </c>
      <c r="J23" s="103">
        <v>0.88452631235122681</v>
      </c>
      <c r="K23" s="103">
        <v>0.48424842953681946</v>
      </c>
      <c r="L23" s="103">
        <v>6.9588571786880493E-2</v>
      </c>
      <c r="M23" s="103">
        <v>3.3485084772109985E-2</v>
      </c>
      <c r="N23" s="103">
        <v>2.0246801897883415E-2</v>
      </c>
      <c r="O23" s="103">
        <v>1187.4547119140625</v>
      </c>
      <c r="P23" s="103">
        <v>796.84613037109375</v>
      </c>
      <c r="Q23" s="103">
        <v>627.3177490234375</v>
      </c>
    </row>
    <row r="24" spans="1:17" hidden="1" x14ac:dyDescent="0.25">
      <c r="A24" s="1"/>
      <c r="C24" s="228" t="s">
        <v>224</v>
      </c>
      <c r="D24" s="228" t="s">
        <v>234</v>
      </c>
      <c r="F24" s="103">
        <v>10.507299423217773</v>
      </c>
      <c r="G24" s="103">
        <v>5.936255931854248</v>
      </c>
      <c r="H24" s="103">
        <v>2.4446802139282227</v>
      </c>
      <c r="I24" s="103">
        <v>2.5302815437316895</v>
      </c>
      <c r="J24" s="103">
        <v>1.4297451972961426</v>
      </c>
      <c r="K24" s="103">
        <v>0.59085685014724731</v>
      </c>
      <c r="L24" s="103">
        <v>8.2781212404370308E-3</v>
      </c>
      <c r="M24" s="103">
        <v>4.057019017636776E-3</v>
      </c>
      <c r="N24" s="103">
        <v>2.4643847718834877E-3</v>
      </c>
      <c r="O24" s="103">
        <v>1215.04443359375</v>
      </c>
      <c r="P24" s="103">
        <v>815.47265625</v>
      </c>
      <c r="Q24" s="103">
        <v>639.09051513671875</v>
      </c>
    </row>
    <row r="25" spans="1:17" hidden="1" x14ac:dyDescent="0.25">
      <c r="A25" s="8"/>
      <c r="B25" s="7"/>
      <c r="C25" s="7" t="s">
        <v>226</v>
      </c>
      <c r="D25" s="7" t="s">
        <v>235</v>
      </c>
      <c r="E25" s="7"/>
      <c r="F25" s="109">
        <v>1.2692475318908691</v>
      </c>
      <c r="G25" s="109">
        <v>0.61997586488723755</v>
      </c>
      <c r="H25" s="109">
        <v>0.206889808177948</v>
      </c>
      <c r="I25" s="109">
        <v>0.35538932681083679</v>
      </c>
      <c r="J25" s="109">
        <v>0.17359323799610138</v>
      </c>
      <c r="K25" s="109">
        <v>5.7929147034883499E-2</v>
      </c>
      <c r="L25" s="109">
        <v>7.4902013875544071E-3</v>
      </c>
      <c r="M25" s="109">
        <v>4.607081413269043E-3</v>
      </c>
      <c r="N25" s="109">
        <v>2.9621634166687727E-3</v>
      </c>
      <c r="O25" s="109">
        <v>1222.9510498046875</v>
      </c>
      <c r="P25" s="109">
        <v>823.7142333984375</v>
      </c>
      <c r="Q25" s="109">
        <v>636.39404296875</v>
      </c>
    </row>
    <row r="26" spans="1:17" hidden="1" x14ac:dyDescent="0.25">
      <c r="A26" s="1" t="s">
        <v>236</v>
      </c>
      <c r="B26" s="74">
        <v>11.1</v>
      </c>
      <c r="C26" s="228" t="s">
        <v>214</v>
      </c>
      <c r="D26" s="228" t="s">
        <v>215</v>
      </c>
      <c r="F26" s="103">
        <v>16.503944396972656</v>
      </c>
      <c r="G26" s="103">
        <v>10.937543869018555</v>
      </c>
      <c r="H26" s="103">
        <v>8.6599493026733398</v>
      </c>
      <c r="I26" s="103">
        <v>1.202211856842041</v>
      </c>
      <c r="J26" s="103">
        <v>0.796733558177948</v>
      </c>
      <c r="K26" s="103">
        <v>0.54703134298324585</v>
      </c>
      <c r="L26" s="103">
        <v>0.90877759456634521</v>
      </c>
      <c r="M26" s="103">
        <v>0.51805716753005981</v>
      </c>
      <c r="N26" s="103">
        <v>0.32943812012672424</v>
      </c>
      <c r="O26" s="103">
        <v>1383.8115234375</v>
      </c>
      <c r="P26" s="103">
        <v>857.77593994140625</v>
      </c>
      <c r="Q26" s="103">
        <v>552.08740234375</v>
      </c>
    </row>
    <row r="27" spans="1:17" hidden="1" x14ac:dyDescent="0.25">
      <c r="A27" s="1"/>
      <c r="B27" s="104">
        <f>2011-B26</f>
        <v>1999.9</v>
      </c>
      <c r="C27" s="228" t="s">
        <v>216</v>
      </c>
      <c r="D27" s="228" t="s">
        <v>217</v>
      </c>
      <c r="F27" s="103">
        <v>11.924925804138184</v>
      </c>
      <c r="G27" s="103">
        <v>7.795097827911377</v>
      </c>
      <c r="H27" s="103">
        <v>6.1103558540344238</v>
      </c>
      <c r="I27" s="103">
        <v>0.86865818500518799</v>
      </c>
      <c r="J27" s="103">
        <v>0.56782537698745728</v>
      </c>
      <c r="K27" s="103">
        <v>0.38061842322349548</v>
      </c>
      <c r="L27" s="103">
        <v>0.64340722560882568</v>
      </c>
      <c r="M27" s="103">
        <v>0.35816088318824768</v>
      </c>
      <c r="N27" s="103">
        <v>0.22526365518569946</v>
      </c>
      <c r="O27" s="103">
        <v>1203.5784912109375</v>
      </c>
      <c r="P27" s="103">
        <v>743.93499755859375</v>
      </c>
      <c r="Q27" s="103">
        <v>510.04702758789062</v>
      </c>
    </row>
    <row r="28" spans="1:17" hidden="1" x14ac:dyDescent="0.25">
      <c r="A28" s="1"/>
      <c r="C28" s="228" t="s">
        <v>218</v>
      </c>
      <c r="D28" s="228" t="s">
        <v>219</v>
      </c>
      <c r="F28" s="103">
        <v>15.54695987701416</v>
      </c>
      <c r="G28" s="103">
        <v>10.019219398498535</v>
      </c>
      <c r="H28" s="103">
        <v>7.5363178253173828</v>
      </c>
      <c r="I28" s="103">
        <v>1.1083093881607056</v>
      </c>
      <c r="J28" s="103">
        <v>0.71424871683120728</v>
      </c>
      <c r="K28" s="103">
        <v>0.46003398299217224</v>
      </c>
      <c r="L28" s="103">
        <v>0.31288972496986389</v>
      </c>
      <c r="M28" s="103">
        <v>0.18737588822841644</v>
      </c>
      <c r="N28" s="103">
        <v>0.18658833205699921</v>
      </c>
      <c r="O28" s="103">
        <v>1357.098876953125</v>
      </c>
      <c r="P28" s="103">
        <v>845.97882080078125</v>
      </c>
      <c r="Q28" s="103">
        <v>568.73565673828125</v>
      </c>
    </row>
    <row r="29" spans="1:17" x14ac:dyDescent="0.25">
      <c r="A29" s="1" t="str">
        <f>A26</f>
        <v>Lastebil, tung</v>
      </c>
      <c r="C29" s="106" t="s">
        <v>220</v>
      </c>
      <c r="D29" s="106" t="s">
        <v>221</v>
      </c>
      <c r="E29" s="106"/>
      <c r="F29" s="107">
        <v>14.229231834411621</v>
      </c>
      <c r="G29" s="107">
        <v>8.8359909057617188</v>
      </c>
      <c r="H29" s="107">
        <v>6.5013022422790527</v>
      </c>
      <c r="I29" s="107">
        <v>1.0107053518295288</v>
      </c>
      <c r="J29" s="107">
        <v>0.62762236595153809</v>
      </c>
      <c r="K29" s="107">
        <v>0.42194584012031555</v>
      </c>
      <c r="L29" s="107">
        <v>0.40613001585006714</v>
      </c>
      <c r="M29" s="107">
        <v>0.22451341152191162</v>
      </c>
      <c r="N29" s="107">
        <v>0.13388089835643768</v>
      </c>
      <c r="O29" s="107">
        <v>1556.4896240234375</v>
      </c>
      <c r="P29" s="107">
        <v>963.25128173828125</v>
      </c>
      <c r="Q29" s="107">
        <v>618.5982666015625</v>
      </c>
    </row>
    <row r="30" spans="1:17" hidden="1" x14ac:dyDescent="0.25">
      <c r="A30" s="1"/>
      <c r="C30" s="228" t="s">
        <v>222</v>
      </c>
      <c r="D30" s="228" t="s">
        <v>223</v>
      </c>
      <c r="F30" s="103">
        <v>13.91530704498291</v>
      </c>
      <c r="G30" s="103">
        <v>7.4256200790405273</v>
      </c>
      <c r="H30" s="103">
        <v>3.7191777229309082</v>
      </c>
      <c r="I30" s="103">
        <v>1.2820419073104858</v>
      </c>
      <c r="J30" s="103">
        <v>0.72204428911209106</v>
      </c>
      <c r="K30" s="103">
        <v>0.34912118315696716</v>
      </c>
      <c r="L30" s="103">
        <v>0.10024847090244293</v>
      </c>
      <c r="M30" s="103">
        <v>4.2393971234560013E-2</v>
      </c>
      <c r="N30" s="103">
        <v>3.3169638365507126E-2</v>
      </c>
      <c r="O30" s="103">
        <v>1368.228271484375</v>
      </c>
      <c r="P30" s="103">
        <v>880.11480712890625</v>
      </c>
      <c r="Q30" s="103">
        <v>578.609130859375</v>
      </c>
    </row>
    <row r="31" spans="1:17" hidden="1" x14ac:dyDescent="0.25">
      <c r="A31" s="1"/>
      <c r="C31" s="228" t="s">
        <v>224</v>
      </c>
      <c r="D31" s="228" t="s">
        <v>225</v>
      </c>
      <c r="F31" s="103">
        <v>10.494996070861816</v>
      </c>
      <c r="G31" s="103">
        <v>5.3357410430908203</v>
      </c>
      <c r="H31" s="103">
        <v>2.2492978572845459</v>
      </c>
      <c r="I31" s="103">
        <v>0.89934241771697998</v>
      </c>
      <c r="J31" s="103">
        <v>0.48119333386421204</v>
      </c>
      <c r="K31" s="103">
        <v>0.2042977511882782</v>
      </c>
      <c r="L31" s="103">
        <v>9.0403288602828979E-2</v>
      </c>
      <c r="M31" s="103">
        <v>3.8467835634946823E-2</v>
      </c>
      <c r="N31" s="103">
        <v>2.9656410217285156E-2</v>
      </c>
      <c r="O31" s="103">
        <v>1234.9246826171875</v>
      </c>
      <c r="P31" s="103">
        <v>796.1988525390625</v>
      </c>
      <c r="Q31" s="103">
        <v>531.934326171875</v>
      </c>
    </row>
    <row r="32" spans="1:17" hidden="1" x14ac:dyDescent="0.25">
      <c r="A32" s="8"/>
      <c r="B32" s="7"/>
      <c r="C32" s="7" t="s">
        <v>226</v>
      </c>
      <c r="D32" s="7" t="s">
        <v>227</v>
      </c>
      <c r="E32" s="7"/>
      <c r="F32" s="109">
        <v>1.9159703254699707</v>
      </c>
      <c r="G32" s="109">
        <v>0.77942043542861938</v>
      </c>
      <c r="H32" s="109">
        <v>0.2397078275680542</v>
      </c>
      <c r="I32" s="109">
        <v>0.5364716649055481</v>
      </c>
      <c r="J32" s="109">
        <v>0.21823772788047791</v>
      </c>
      <c r="K32" s="109">
        <v>5.2982650697231293E-2</v>
      </c>
      <c r="L32" s="109">
        <v>6.8858941085636616E-3</v>
      </c>
      <c r="M32" s="109">
        <v>3.9919358678162098E-3</v>
      </c>
      <c r="N32" s="109">
        <v>2.6549661997705698E-3</v>
      </c>
      <c r="O32" s="109">
        <v>1243.0125732421875</v>
      </c>
      <c r="P32" s="109">
        <v>798.4217529296875</v>
      </c>
      <c r="Q32" s="109">
        <v>533.76739501953125</v>
      </c>
    </row>
    <row r="33" spans="1:17" hidden="1" x14ac:dyDescent="0.25">
      <c r="A33" s="1" t="s">
        <v>237</v>
      </c>
      <c r="B33" s="74">
        <v>11.1</v>
      </c>
      <c r="C33" s="228" t="s">
        <v>214</v>
      </c>
      <c r="D33" s="228" t="s">
        <v>215</v>
      </c>
      <c r="F33" s="103">
        <v>1.6238009929656982</v>
      </c>
      <c r="G33" s="103">
        <v>1.4088361263275146</v>
      </c>
      <c r="H33" s="103">
        <v>1.1937332153320313</v>
      </c>
      <c r="I33" s="103">
        <v>0.12990407645702362</v>
      </c>
      <c r="J33" s="103">
        <v>0.11270688474178314</v>
      </c>
      <c r="K33" s="103">
        <v>9.5498666167259216E-2</v>
      </c>
      <c r="L33" s="103">
        <v>0.52212280035018921</v>
      </c>
      <c r="M33" s="103">
        <v>0.33284911513328552</v>
      </c>
      <c r="N33" s="103">
        <v>0.26656237244606018</v>
      </c>
      <c r="O33" s="103">
        <v>292.86563110351562</v>
      </c>
      <c r="P33" s="103">
        <v>230.04385375976562</v>
      </c>
      <c r="Q33" s="103">
        <v>194.33900451660156</v>
      </c>
    </row>
    <row r="34" spans="1:17" hidden="1" x14ac:dyDescent="0.25">
      <c r="A34" s="1"/>
      <c r="B34" s="104">
        <f>2011-B33</f>
        <v>1999.9</v>
      </c>
      <c r="C34" s="228" t="s">
        <v>216</v>
      </c>
      <c r="D34" s="228" t="s">
        <v>217</v>
      </c>
      <c r="F34" s="103">
        <v>1.4670336246490479</v>
      </c>
      <c r="G34" s="103">
        <v>1.2635762691497803</v>
      </c>
      <c r="H34" s="103">
        <v>1.0514414310455322</v>
      </c>
      <c r="I34" s="103">
        <v>0.11736268550157547</v>
      </c>
      <c r="J34" s="103">
        <v>0.10108610987663269</v>
      </c>
      <c r="K34" s="103">
        <v>8.4115311503410339E-2</v>
      </c>
      <c r="L34" s="103">
        <v>0.25568526983261108</v>
      </c>
      <c r="M34" s="103">
        <v>0.16511739790439606</v>
      </c>
      <c r="N34" s="103">
        <v>0.13718438148498535</v>
      </c>
      <c r="O34" s="103">
        <v>287.40731811523437</v>
      </c>
      <c r="P34" s="103">
        <v>224.03776550292969</v>
      </c>
      <c r="Q34" s="103">
        <v>186.79449462890625</v>
      </c>
    </row>
    <row r="35" spans="1:17" hidden="1" x14ac:dyDescent="0.25">
      <c r="A35" s="1"/>
      <c r="C35" s="228" t="s">
        <v>218</v>
      </c>
      <c r="D35" s="228" t="s">
        <v>219</v>
      </c>
      <c r="F35" s="103">
        <v>1.3279973268508911</v>
      </c>
      <c r="G35" s="103">
        <v>1.1291800737380981</v>
      </c>
      <c r="H35" s="103">
        <v>0.90020579099655151</v>
      </c>
      <c r="I35" s="103">
        <v>0.14607970416545868</v>
      </c>
      <c r="J35" s="103">
        <v>0.12420981377363205</v>
      </c>
      <c r="K35" s="103">
        <v>9.9022634327411652E-2</v>
      </c>
      <c r="L35" s="103">
        <v>0.16885876655578613</v>
      </c>
      <c r="M35" s="103">
        <v>0.10678739100694656</v>
      </c>
      <c r="N35" s="103">
        <v>8.4220997989177704E-2</v>
      </c>
      <c r="O35" s="103">
        <v>278.5091552734375</v>
      </c>
      <c r="P35" s="103">
        <v>216.19285583496094</v>
      </c>
      <c r="Q35" s="103">
        <v>176.81309509277344</v>
      </c>
    </row>
    <row r="36" spans="1:17" x14ac:dyDescent="0.25">
      <c r="A36" s="1" t="str">
        <f>A33</f>
        <v>Lastebil, lett</v>
      </c>
      <c r="C36" s="106" t="s">
        <v>220</v>
      </c>
      <c r="D36" s="106" t="s">
        <v>221</v>
      </c>
      <c r="E36" s="106"/>
      <c r="F36" s="107">
        <v>1.0984424352645874</v>
      </c>
      <c r="G36" s="107">
        <v>1.018825888633728</v>
      </c>
      <c r="H36" s="107">
        <v>0.7571418285369873</v>
      </c>
      <c r="I36" s="107">
        <v>0.38373643159866333</v>
      </c>
      <c r="J36" s="107">
        <v>0.35591462254524231</v>
      </c>
      <c r="K36" s="107">
        <v>0.26448747515678406</v>
      </c>
      <c r="L36" s="107">
        <v>6.6187635064125061E-2</v>
      </c>
      <c r="M36" s="107">
        <v>4.8727985471487045E-2</v>
      </c>
      <c r="N36" s="107">
        <v>3.794555738568306E-2</v>
      </c>
      <c r="O36" s="107">
        <v>289.02194213867187</v>
      </c>
      <c r="P36" s="107">
        <v>205.46977233886719</v>
      </c>
      <c r="Q36" s="107">
        <v>157.04595947265625</v>
      </c>
    </row>
    <row r="37" spans="1:17" hidden="1" x14ac:dyDescent="0.25">
      <c r="C37" s="228" t="s">
        <v>222</v>
      </c>
      <c r="D37" s="228" t="s">
        <v>223</v>
      </c>
      <c r="F37" s="103">
        <v>0.8475881814956665</v>
      </c>
      <c r="G37" s="103">
        <v>0.65940999984741211</v>
      </c>
      <c r="H37" s="103">
        <v>0.62709146738052368</v>
      </c>
      <c r="I37" s="103">
        <v>0.37373760342597961</v>
      </c>
      <c r="J37" s="103">
        <v>0.291197270154953</v>
      </c>
      <c r="K37" s="103">
        <v>0.27690577507019043</v>
      </c>
      <c r="L37" s="103">
        <v>5.2246645092964172E-2</v>
      </c>
      <c r="M37" s="103">
        <v>2.9170587658882141E-2</v>
      </c>
      <c r="N37" s="103">
        <v>2.8774229809641838E-2</v>
      </c>
      <c r="O37" s="103">
        <v>311.03280639648437</v>
      </c>
      <c r="P37" s="103">
        <v>211.66647338867187</v>
      </c>
      <c r="Q37" s="103">
        <v>174.293212890625</v>
      </c>
    </row>
    <row r="38" spans="1:17" hidden="1" x14ac:dyDescent="0.25">
      <c r="C38" s="228" t="s">
        <v>224</v>
      </c>
      <c r="D38" s="228" t="s">
        <v>225</v>
      </c>
      <c r="F38" s="103">
        <v>0.85619145631790161</v>
      </c>
      <c r="G38" s="103">
        <v>0.61959344148635864</v>
      </c>
      <c r="H38" s="103">
        <v>0.57640820741653442</v>
      </c>
      <c r="I38" s="103">
        <v>0.29966703057289124</v>
      </c>
      <c r="J38" s="103">
        <v>0.21685770153999329</v>
      </c>
      <c r="K38" s="103">
        <v>0.20174288749694824</v>
      </c>
      <c r="L38" s="103">
        <v>4.9816002137959003E-3</v>
      </c>
      <c r="M38" s="103">
        <v>2.135684248059988E-3</v>
      </c>
      <c r="N38" s="103">
        <v>1.5145178185775876E-3</v>
      </c>
      <c r="O38" s="103">
        <v>305.33102416992187</v>
      </c>
      <c r="P38" s="103">
        <v>199.83816528320312</v>
      </c>
      <c r="Q38" s="103">
        <v>166.7518310546875</v>
      </c>
    </row>
    <row r="39" spans="1:17" hidden="1" x14ac:dyDescent="0.25">
      <c r="C39" s="228" t="s">
        <v>226</v>
      </c>
      <c r="D39" s="228" t="s">
        <v>227</v>
      </c>
      <c r="F39" s="103">
        <v>0.30416521430015564</v>
      </c>
      <c r="G39" s="103">
        <v>0.22102904319763184</v>
      </c>
      <c r="H39" s="103">
        <v>0.18588681519031525</v>
      </c>
      <c r="I39" s="103">
        <v>9.1249570250511169E-2</v>
      </c>
      <c r="J39" s="103">
        <v>6.630871444940567E-2</v>
      </c>
      <c r="K39" s="103">
        <v>5.5766046047210693E-2</v>
      </c>
      <c r="L39" s="103">
        <v>4.4729476794600487E-3</v>
      </c>
      <c r="M39" s="103">
        <v>1.8886325415223837E-3</v>
      </c>
      <c r="N39" s="103">
        <v>1.4740207698196173E-3</v>
      </c>
      <c r="O39" s="103">
        <v>294.9202880859375</v>
      </c>
      <c r="P39" s="103">
        <v>191.32183837890625</v>
      </c>
      <c r="Q39" s="103">
        <v>149.97183227539062</v>
      </c>
    </row>
    <row r="40" spans="1:17" x14ac:dyDescent="0.25">
      <c r="F40" s="125" t="s">
        <v>253</v>
      </c>
      <c r="G40" s="103"/>
      <c r="H40" s="103"/>
      <c r="I40" s="103"/>
      <c r="J40" s="103"/>
      <c r="K40" s="103"/>
      <c r="L40" s="103"/>
      <c r="M40" s="103"/>
      <c r="N40" s="103"/>
      <c r="O40" s="103"/>
      <c r="P40" s="103"/>
      <c r="Q40" s="103"/>
    </row>
    <row r="41" spans="1:17" x14ac:dyDescent="0.25">
      <c r="E41" s="1" t="s">
        <v>259</v>
      </c>
    </row>
    <row r="42" spans="1:17" x14ac:dyDescent="0.25">
      <c r="A42" s="1" t="s">
        <v>252</v>
      </c>
      <c r="D42" s="114" t="s">
        <v>254</v>
      </c>
      <c r="E42" s="1"/>
      <c r="F42" s="126">
        <f>E112</f>
        <v>0.3</v>
      </c>
      <c r="G42" s="126">
        <f>E113</f>
        <v>0.6</v>
      </c>
      <c r="H42" s="126">
        <f>E114</f>
        <v>0.1</v>
      </c>
      <c r="I42" s="126">
        <f>F42</f>
        <v>0.3</v>
      </c>
      <c r="J42" s="126">
        <f t="shared" ref="J42:Q42" si="0">G42</f>
        <v>0.6</v>
      </c>
      <c r="K42" s="126">
        <f t="shared" si="0"/>
        <v>0.1</v>
      </c>
      <c r="L42" s="126">
        <f t="shared" si="0"/>
        <v>0.3</v>
      </c>
      <c r="M42" s="126">
        <f t="shared" si="0"/>
        <v>0.6</v>
      </c>
      <c r="N42" s="126">
        <f t="shared" si="0"/>
        <v>0.1</v>
      </c>
      <c r="O42" s="126">
        <f t="shared" si="0"/>
        <v>0.3</v>
      </c>
      <c r="P42" s="126">
        <f t="shared" si="0"/>
        <v>0.6</v>
      </c>
      <c r="Q42" s="126">
        <f t="shared" si="0"/>
        <v>0.1</v>
      </c>
    </row>
    <row r="43" spans="1:17" x14ac:dyDescent="0.25">
      <c r="A43" s="1"/>
      <c r="D43" s="114" t="s">
        <v>213</v>
      </c>
      <c r="E43" s="13">
        <f>D96*B97*365*D108*D100</f>
        <v>963600</v>
      </c>
      <c r="F43" s="13">
        <f>$E43*F42*F$8</f>
        <v>48194.970442056656</v>
      </c>
      <c r="G43" s="13">
        <f t="shared" ref="G43:Q43" si="1">$E43*G$42*G$8</f>
        <v>52716.045379042625</v>
      </c>
      <c r="H43" s="13">
        <f t="shared" si="1"/>
        <v>3512.3218667507172</v>
      </c>
      <c r="I43" s="13">
        <f t="shared" si="1"/>
        <v>2422.5656528770924</v>
      </c>
      <c r="J43" s="13">
        <f t="shared" si="1"/>
        <v>2344.8845876008272</v>
      </c>
      <c r="K43" s="13">
        <f t="shared" si="1"/>
        <v>175.61610231176019</v>
      </c>
      <c r="L43" s="13">
        <f t="shared" si="1"/>
        <v>803.64239442162216</v>
      </c>
      <c r="M43" s="13">
        <f t="shared" si="1"/>
        <v>1121.6303926985711</v>
      </c>
      <c r="N43" s="13">
        <f t="shared" si="1"/>
        <v>117.5592089490965</v>
      </c>
      <c r="O43" s="13">
        <f t="shared" si="1"/>
        <v>104194002.12890625</v>
      </c>
      <c r="P43" s="13">
        <f t="shared" si="1"/>
        <v>120900343.61206055</v>
      </c>
      <c r="Q43" s="13">
        <f t="shared" si="1"/>
        <v>14347546.137084961</v>
      </c>
    </row>
    <row r="44" spans="1:17" x14ac:dyDescent="0.25">
      <c r="D44" s="114" t="s">
        <v>228</v>
      </c>
      <c r="E44" s="13">
        <f>D96*B97*365*D108*D101</f>
        <v>642400.00000000012</v>
      </c>
      <c r="F44" s="13">
        <f>$E44*F42*F$16</f>
        <v>194795.58732032779</v>
      </c>
      <c r="G44" s="13">
        <f t="shared" ref="G44:Q44" si="2">$E44*G$42*G$16</f>
        <v>200633.07758331302</v>
      </c>
      <c r="H44" s="13">
        <f t="shared" si="2"/>
        <v>21702.199654579166</v>
      </c>
      <c r="I44" s="13">
        <f t="shared" si="2"/>
        <v>89323.254704475417</v>
      </c>
      <c r="J44" s="13">
        <f t="shared" si="2"/>
        <v>92000.031774044051</v>
      </c>
      <c r="K44" s="13">
        <f t="shared" si="2"/>
        <v>9951.5149652957934</v>
      </c>
      <c r="L44" s="13">
        <f t="shared" si="2"/>
        <v>6048.3579710125932</v>
      </c>
      <c r="M44" s="13">
        <f t="shared" si="2"/>
        <v>6680.912275314332</v>
      </c>
      <c r="N44" s="13">
        <f t="shared" si="2"/>
        <v>787.34950318932556</v>
      </c>
      <c r="O44" s="13">
        <f t="shared" si="2"/>
        <v>50921996.022949226</v>
      </c>
      <c r="P44" s="13">
        <f t="shared" si="2"/>
        <v>62526541.896972664</v>
      </c>
      <c r="Q44" s="13">
        <f t="shared" si="2"/>
        <v>7421351.0937500019</v>
      </c>
    </row>
    <row r="45" spans="1:17" x14ac:dyDescent="0.25">
      <c r="D45" s="114" t="s">
        <v>241</v>
      </c>
      <c r="E45" s="13">
        <f>D96*B97*365*D108*D105</f>
        <v>21900</v>
      </c>
      <c r="F45" s="13">
        <f>$E45*F42*F$8</f>
        <v>1095.3402373194695</v>
      </c>
      <c r="G45" s="13">
        <f t="shared" ref="G45:Q45" si="3">$E45*G$42*G$8</f>
        <v>1198.0919404327869</v>
      </c>
      <c r="H45" s="13">
        <f t="shared" si="3"/>
        <v>79.825496971607208</v>
      </c>
      <c r="I45" s="13">
        <f t="shared" si="3"/>
        <v>55.05831029266119</v>
      </c>
      <c r="J45" s="13">
        <f t="shared" si="3"/>
        <v>53.292831536382437</v>
      </c>
      <c r="K45" s="13">
        <f t="shared" si="3"/>
        <v>3.9912750525400043</v>
      </c>
      <c r="L45" s="13">
        <f t="shared" si="3"/>
        <v>18.264599873218685</v>
      </c>
      <c r="M45" s="13">
        <f t="shared" si="3"/>
        <v>25.491599834058434</v>
      </c>
      <c r="N45" s="13">
        <f t="shared" si="3"/>
        <v>2.6718002033885568</v>
      </c>
      <c r="O45" s="13">
        <f t="shared" si="3"/>
        <v>2368045.5029296875</v>
      </c>
      <c r="P45" s="13">
        <f t="shared" si="3"/>
        <v>2747735.0820922852</v>
      </c>
      <c r="Q45" s="13">
        <f t="shared" si="3"/>
        <v>326080.5940246582</v>
      </c>
    </row>
    <row r="46" spans="1:17" x14ac:dyDescent="0.25">
      <c r="D46" s="114" t="s">
        <v>229</v>
      </c>
      <c r="E46" s="13">
        <f>D96*B97*365*D108*D106</f>
        <v>14600</v>
      </c>
      <c r="F46" s="13">
        <f>$E46*F42*F$22</f>
        <v>72014.211502075195</v>
      </c>
      <c r="G46" s="13">
        <f t="shared" ref="G46:Q46" si="4">$E46*G$42*G$22</f>
        <v>73099.746208190918</v>
      </c>
      <c r="H46" s="13">
        <f t="shared" si="4"/>
        <v>8041.6262435913086</v>
      </c>
      <c r="I46" s="13">
        <f t="shared" si="4"/>
        <v>5115.1846432685852</v>
      </c>
      <c r="J46" s="13">
        <f t="shared" si="4"/>
        <v>5192.2906565666199</v>
      </c>
      <c r="K46" s="13">
        <f t="shared" si="4"/>
        <v>571.19834840297699</v>
      </c>
      <c r="L46" s="13">
        <f t="shared" si="4"/>
        <v>1313.3775347471237</v>
      </c>
      <c r="M46" s="13">
        <f t="shared" si="4"/>
        <v>1720.5294120311737</v>
      </c>
      <c r="N46" s="13">
        <f t="shared" si="4"/>
        <v>160.93322023749352</v>
      </c>
      <c r="O46" s="13">
        <f t="shared" si="4"/>
        <v>6223394.5385742187</v>
      </c>
      <c r="P46" s="13">
        <f t="shared" si="4"/>
        <v>7714085.1928710938</v>
      </c>
      <c r="Q46" s="13">
        <f t="shared" si="4"/>
        <v>935516.56494140625</v>
      </c>
    </row>
    <row r="47" spans="1:17" x14ac:dyDescent="0.25">
      <c r="D47" s="114" t="s">
        <v>236</v>
      </c>
      <c r="E47" s="13">
        <f>D96*B97*365*D108*D102</f>
        <v>182500</v>
      </c>
      <c r="F47" s="13">
        <f>$E47*F42*F$29</f>
        <v>779050.44293403625</v>
      </c>
      <c r="G47" s="13">
        <f t="shared" ref="G47:Q47" si="5">$E47*G$42*G$29</f>
        <v>967541.0041809082</v>
      </c>
      <c r="H47" s="13">
        <f t="shared" si="5"/>
        <v>118648.76592159271</v>
      </c>
      <c r="I47" s="13">
        <f t="shared" si="5"/>
        <v>55336.118012666702</v>
      </c>
      <c r="J47" s="13">
        <f t="shared" si="5"/>
        <v>68724.64907169342</v>
      </c>
      <c r="K47" s="13">
        <f t="shared" si="5"/>
        <v>7700.5115821957588</v>
      </c>
      <c r="L47" s="13">
        <f t="shared" si="5"/>
        <v>22235.618367791176</v>
      </c>
      <c r="M47" s="13">
        <f t="shared" si="5"/>
        <v>24584.218561649323</v>
      </c>
      <c r="N47" s="13">
        <f t="shared" si="5"/>
        <v>2443.3263950049877</v>
      </c>
      <c r="O47" s="13">
        <f t="shared" si="5"/>
        <v>85217806.915283203</v>
      </c>
      <c r="P47" s="13">
        <f t="shared" si="5"/>
        <v>105476015.3503418</v>
      </c>
      <c r="Q47" s="13">
        <f t="shared" si="5"/>
        <v>11289418.365478516</v>
      </c>
    </row>
    <row r="48" spans="1:17" x14ac:dyDescent="0.25">
      <c r="A48" s="1" t="s">
        <v>251</v>
      </c>
      <c r="D48" s="114" t="s">
        <v>254</v>
      </c>
      <c r="E48" s="115"/>
      <c r="F48" s="126">
        <f>F112</f>
        <v>0.27</v>
      </c>
      <c r="G48" s="126">
        <f>F113</f>
        <v>0.6</v>
      </c>
      <c r="H48" s="126">
        <f>F114</f>
        <v>0.13</v>
      </c>
      <c r="I48" s="126">
        <f t="shared" ref="I48:Q48" si="6">F48</f>
        <v>0.27</v>
      </c>
      <c r="J48" s="126">
        <f t="shared" si="6"/>
        <v>0.6</v>
      </c>
      <c r="K48" s="126">
        <f t="shared" si="6"/>
        <v>0.13</v>
      </c>
      <c r="L48" s="126">
        <f t="shared" si="6"/>
        <v>0.27</v>
      </c>
      <c r="M48" s="126">
        <f t="shared" si="6"/>
        <v>0.6</v>
      </c>
      <c r="N48" s="126">
        <f t="shared" si="6"/>
        <v>0.13</v>
      </c>
      <c r="O48" s="126">
        <f t="shared" si="6"/>
        <v>0.27</v>
      </c>
      <c r="P48" s="126">
        <f t="shared" si="6"/>
        <v>0.6</v>
      </c>
      <c r="Q48" s="126">
        <f t="shared" si="6"/>
        <v>0.13</v>
      </c>
    </row>
    <row r="49" spans="1:17" x14ac:dyDescent="0.25">
      <c r="D49" s="114" t="s">
        <v>213</v>
      </c>
      <c r="E49" s="115">
        <f>E43</f>
        <v>963600</v>
      </c>
      <c r="F49" s="13">
        <f>$E49*F48*F$8</f>
        <v>43375.473397850998</v>
      </c>
      <c r="G49" s="13">
        <f t="shared" ref="G49:Q49" si="7">$E49*G$48*G$8</f>
        <v>52716.045379042625</v>
      </c>
      <c r="H49" s="13">
        <f t="shared" si="7"/>
        <v>4566.0184267759323</v>
      </c>
      <c r="I49" s="13">
        <f t="shared" si="7"/>
        <v>2180.3090875893836</v>
      </c>
      <c r="J49" s="13">
        <f t="shared" si="7"/>
        <v>2344.8845876008272</v>
      </c>
      <c r="K49" s="13">
        <f t="shared" si="7"/>
        <v>228.30093300528824</v>
      </c>
      <c r="L49" s="13">
        <f t="shared" si="7"/>
        <v>723.27815497946006</v>
      </c>
      <c r="M49" s="13">
        <f t="shared" si="7"/>
        <v>1121.6303926985711</v>
      </c>
      <c r="N49" s="13">
        <f t="shared" si="7"/>
        <v>152.82697163382545</v>
      </c>
      <c r="O49" s="13">
        <f t="shared" si="7"/>
        <v>93774601.91601564</v>
      </c>
      <c r="P49" s="13">
        <f t="shared" si="7"/>
        <v>120900343.61206055</v>
      </c>
      <c r="Q49" s="13">
        <f t="shared" si="7"/>
        <v>18651809.978210449</v>
      </c>
    </row>
    <row r="50" spans="1:17" x14ac:dyDescent="0.25">
      <c r="D50" s="114" t="s">
        <v>228</v>
      </c>
      <c r="E50" s="115">
        <f>E44</f>
        <v>642400.00000000012</v>
      </c>
      <c r="F50" s="13">
        <f>$E50*F48*F$16</f>
        <v>175316.02858829501</v>
      </c>
      <c r="G50" s="13">
        <f t="shared" ref="G50:Q50" si="8">$E50*G$48*G$16</f>
        <v>200633.07758331302</v>
      </c>
      <c r="H50" s="13">
        <f t="shared" si="8"/>
        <v>28212.859550952915</v>
      </c>
      <c r="I50" s="13">
        <f t="shared" si="8"/>
        <v>80390.929234027877</v>
      </c>
      <c r="J50" s="13">
        <f t="shared" si="8"/>
        <v>92000.031774044051</v>
      </c>
      <c r="K50" s="13">
        <f t="shared" si="8"/>
        <v>12936.969454884531</v>
      </c>
      <c r="L50" s="13">
        <f t="shared" si="8"/>
        <v>5443.522173911334</v>
      </c>
      <c r="M50" s="13">
        <f t="shared" si="8"/>
        <v>6680.912275314332</v>
      </c>
      <c r="N50" s="13">
        <f t="shared" si="8"/>
        <v>1023.5543541461232</v>
      </c>
      <c r="O50" s="13">
        <f t="shared" si="8"/>
        <v>45829796.420654304</v>
      </c>
      <c r="P50" s="13">
        <f t="shared" si="8"/>
        <v>62526541.896972664</v>
      </c>
      <c r="Q50" s="13">
        <f t="shared" si="8"/>
        <v>9647756.4218750019</v>
      </c>
    </row>
    <row r="51" spans="1:17" x14ac:dyDescent="0.25">
      <c r="D51" s="114" t="s">
        <v>241</v>
      </c>
      <c r="E51" s="115">
        <f>E45</f>
        <v>21900</v>
      </c>
      <c r="F51" s="13">
        <f>$E51*F48*F$8</f>
        <v>985.80621358752251</v>
      </c>
      <c r="G51" s="13">
        <f t="shared" ref="G51:Q51" si="9">$E51*G$48*G$8</f>
        <v>1198.0919404327869</v>
      </c>
      <c r="H51" s="13">
        <f t="shared" si="9"/>
        <v>103.77314606308937</v>
      </c>
      <c r="I51" s="13">
        <f t="shared" si="9"/>
        <v>49.552479263395071</v>
      </c>
      <c r="J51" s="13">
        <f t="shared" si="9"/>
        <v>53.292831536382437</v>
      </c>
      <c r="K51" s="13">
        <f t="shared" si="9"/>
        <v>5.1886575683020055</v>
      </c>
      <c r="L51" s="13">
        <f t="shared" si="9"/>
        <v>16.438139885896817</v>
      </c>
      <c r="M51" s="13">
        <f t="shared" si="9"/>
        <v>25.491599834058434</v>
      </c>
      <c r="N51" s="13">
        <f t="shared" si="9"/>
        <v>3.4733402644051239</v>
      </c>
      <c r="O51" s="13">
        <f t="shared" si="9"/>
        <v>2131240.9526367188</v>
      </c>
      <c r="P51" s="13">
        <f t="shared" si="9"/>
        <v>2747735.0820922852</v>
      </c>
      <c r="Q51" s="13">
        <f t="shared" si="9"/>
        <v>423904.77223205566</v>
      </c>
    </row>
    <row r="52" spans="1:17" x14ac:dyDescent="0.25">
      <c r="D52" s="114" t="s">
        <v>229</v>
      </c>
      <c r="E52" s="115">
        <f>E46</f>
        <v>14600</v>
      </c>
      <c r="F52" s="13">
        <f>$E52*F48*F$22</f>
        <v>64812.790351867683</v>
      </c>
      <c r="G52" s="13">
        <f t="shared" ref="G52:Q52" si="10">$E52*G$48*G$22</f>
        <v>73099.746208190918</v>
      </c>
      <c r="H52" s="13">
        <f t="shared" si="10"/>
        <v>10454.114116668701</v>
      </c>
      <c r="I52" s="13">
        <f t="shared" si="10"/>
        <v>4603.6661789417276</v>
      </c>
      <c r="J52" s="13">
        <f t="shared" si="10"/>
        <v>5192.2906565666199</v>
      </c>
      <c r="K52" s="13">
        <f t="shared" si="10"/>
        <v>742.55785292387009</v>
      </c>
      <c r="L52" s="13">
        <f t="shared" si="10"/>
        <v>1182.0397812724116</v>
      </c>
      <c r="M52" s="13">
        <f t="shared" si="10"/>
        <v>1720.5294120311737</v>
      </c>
      <c r="N52" s="13">
        <f t="shared" si="10"/>
        <v>209.21318630874157</v>
      </c>
      <c r="O52" s="13">
        <f t="shared" si="10"/>
        <v>5601055.0847167978</v>
      </c>
      <c r="P52" s="13">
        <f t="shared" si="10"/>
        <v>7714085.1928710938</v>
      </c>
      <c r="Q52" s="13">
        <f t="shared" si="10"/>
        <v>1216171.5344238281</v>
      </c>
    </row>
    <row r="53" spans="1:17" x14ac:dyDescent="0.25">
      <c r="D53" s="114" t="s">
        <v>236</v>
      </c>
      <c r="E53" s="115">
        <f>E47</f>
        <v>182500</v>
      </c>
      <c r="F53" s="13">
        <f>$E53*F48*F$29</f>
        <v>701145.39864063263</v>
      </c>
      <c r="G53" s="13">
        <f t="shared" ref="G53:Q53" si="11">$E53*G$48*G$29</f>
        <v>967541.0041809082</v>
      </c>
      <c r="H53" s="13">
        <f t="shared" si="11"/>
        <v>154243.39569807053</v>
      </c>
      <c r="I53" s="13">
        <f t="shared" si="11"/>
        <v>49802.506211400032</v>
      </c>
      <c r="J53" s="13">
        <f t="shared" si="11"/>
        <v>68724.64907169342</v>
      </c>
      <c r="K53" s="13">
        <f t="shared" si="11"/>
        <v>10010.665056854486</v>
      </c>
      <c r="L53" s="13">
        <f t="shared" si="11"/>
        <v>20012.056531012058</v>
      </c>
      <c r="M53" s="13">
        <f t="shared" si="11"/>
        <v>24584.218561649323</v>
      </c>
      <c r="N53" s="13">
        <f t="shared" si="11"/>
        <v>3176.324313506484</v>
      </c>
      <c r="O53" s="13">
        <f t="shared" si="11"/>
        <v>76696026.223754883</v>
      </c>
      <c r="P53" s="13">
        <f t="shared" si="11"/>
        <v>105476015.3503418</v>
      </c>
      <c r="Q53" s="13">
        <f t="shared" si="11"/>
        <v>14676243.87512207</v>
      </c>
    </row>
    <row r="54" spans="1:17" x14ac:dyDescent="0.25">
      <c r="A54" s="1" t="s">
        <v>255</v>
      </c>
      <c r="D54" s="114" t="s">
        <v>254</v>
      </c>
      <c r="F54" s="126">
        <f>E116</f>
        <v>0</v>
      </c>
      <c r="G54" s="126">
        <f>E117</f>
        <v>0</v>
      </c>
      <c r="H54" s="126">
        <f>E118</f>
        <v>1</v>
      </c>
      <c r="I54" s="126">
        <f>F54</f>
        <v>0</v>
      </c>
      <c r="J54" s="126">
        <f t="shared" ref="J54:Q54" si="12">G54</f>
        <v>0</v>
      </c>
      <c r="K54" s="126">
        <f t="shared" si="12"/>
        <v>1</v>
      </c>
      <c r="L54" s="126">
        <f t="shared" si="12"/>
        <v>0</v>
      </c>
      <c r="M54" s="126">
        <f t="shared" si="12"/>
        <v>0</v>
      </c>
      <c r="N54" s="126">
        <f t="shared" si="12"/>
        <v>1</v>
      </c>
      <c r="O54" s="126">
        <f t="shared" si="12"/>
        <v>0</v>
      </c>
      <c r="P54" s="126">
        <f t="shared" si="12"/>
        <v>0</v>
      </c>
      <c r="Q54" s="126">
        <f t="shared" si="12"/>
        <v>1</v>
      </c>
    </row>
    <row r="55" spans="1:17" x14ac:dyDescent="0.25">
      <c r="A55" s="1"/>
      <c r="D55" s="114" t="s">
        <v>213</v>
      </c>
      <c r="E55" s="115">
        <f>D96*B97*365*D109*D100</f>
        <v>0</v>
      </c>
      <c r="F55" s="13">
        <f>$E55*F54*F$8</f>
        <v>0</v>
      </c>
      <c r="G55" s="13">
        <f>$E55*G54*G$8</f>
        <v>0</v>
      </c>
      <c r="H55" s="13">
        <f t="shared" ref="H55:Q55" si="13">$E55*H54*H$8</f>
        <v>0</v>
      </c>
      <c r="I55" s="13">
        <f t="shared" si="13"/>
        <v>0</v>
      </c>
      <c r="J55" s="13">
        <f t="shared" si="13"/>
        <v>0</v>
      </c>
      <c r="K55" s="13">
        <f t="shared" si="13"/>
        <v>0</v>
      </c>
      <c r="L55" s="13">
        <f t="shared" si="13"/>
        <v>0</v>
      </c>
      <c r="M55" s="13">
        <f t="shared" si="13"/>
        <v>0</v>
      </c>
      <c r="N55" s="13">
        <f t="shared" si="13"/>
        <v>0</v>
      </c>
      <c r="O55" s="13">
        <f t="shared" si="13"/>
        <v>0</v>
      </c>
      <c r="P55" s="13">
        <f t="shared" si="13"/>
        <v>0</v>
      </c>
      <c r="Q55" s="13">
        <f t="shared" si="13"/>
        <v>0</v>
      </c>
    </row>
    <row r="56" spans="1:17" x14ac:dyDescent="0.25">
      <c r="D56" s="114" t="s">
        <v>228</v>
      </c>
      <c r="E56" s="115">
        <f>D96*B97*365*D109*D101</f>
        <v>0</v>
      </c>
      <c r="F56" s="13">
        <f>$E56*F54*F$16</f>
        <v>0</v>
      </c>
      <c r="G56" s="13">
        <f>$E56*G54*G$16</f>
        <v>0</v>
      </c>
      <c r="H56" s="13">
        <f t="shared" ref="H56:Q56" si="14">$E56*H54*H$16</f>
        <v>0</v>
      </c>
      <c r="I56" s="13">
        <f t="shared" si="14"/>
        <v>0</v>
      </c>
      <c r="J56" s="13">
        <f t="shared" si="14"/>
        <v>0</v>
      </c>
      <c r="K56" s="13">
        <f t="shared" si="14"/>
        <v>0</v>
      </c>
      <c r="L56" s="13">
        <f t="shared" si="14"/>
        <v>0</v>
      </c>
      <c r="M56" s="13">
        <f t="shared" si="14"/>
        <v>0</v>
      </c>
      <c r="N56" s="13">
        <f t="shared" si="14"/>
        <v>0</v>
      </c>
      <c r="O56" s="13">
        <f t="shared" si="14"/>
        <v>0</v>
      </c>
      <c r="P56" s="13">
        <f t="shared" si="14"/>
        <v>0</v>
      </c>
      <c r="Q56" s="13">
        <f t="shared" si="14"/>
        <v>0</v>
      </c>
    </row>
    <row r="57" spans="1:17" x14ac:dyDescent="0.25">
      <c r="D57" s="114" t="s">
        <v>241</v>
      </c>
      <c r="E57" s="115">
        <f>D96*B97*365*D109*D105</f>
        <v>0</v>
      </c>
      <c r="F57" s="13">
        <f>$E57*F54*F$8</f>
        <v>0</v>
      </c>
      <c r="G57" s="13">
        <f>$E57*G54*G$8</f>
        <v>0</v>
      </c>
      <c r="H57" s="13">
        <f t="shared" ref="H57:Q57" si="15">$E57*H54*H$8</f>
        <v>0</v>
      </c>
      <c r="I57" s="13">
        <f t="shared" si="15"/>
        <v>0</v>
      </c>
      <c r="J57" s="13">
        <f t="shared" si="15"/>
        <v>0</v>
      </c>
      <c r="K57" s="13">
        <f t="shared" si="15"/>
        <v>0</v>
      </c>
      <c r="L57" s="13">
        <f t="shared" si="15"/>
        <v>0</v>
      </c>
      <c r="M57" s="13">
        <f t="shared" si="15"/>
        <v>0</v>
      </c>
      <c r="N57" s="13">
        <f t="shared" si="15"/>
        <v>0</v>
      </c>
      <c r="O57" s="13">
        <f t="shared" si="15"/>
        <v>0</v>
      </c>
      <c r="P57" s="13">
        <f t="shared" si="15"/>
        <v>0</v>
      </c>
      <c r="Q57" s="13">
        <f t="shared" si="15"/>
        <v>0</v>
      </c>
    </row>
    <row r="58" spans="1:17" x14ac:dyDescent="0.25">
      <c r="D58" s="114" t="s">
        <v>229</v>
      </c>
      <c r="E58" s="115">
        <f>D96*B97*365*D109*D106</f>
        <v>0</v>
      </c>
      <c r="F58" s="13">
        <f>$E58*F54*F$22</f>
        <v>0</v>
      </c>
      <c r="G58" s="13">
        <f>$E58*G54*G$22</f>
        <v>0</v>
      </c>
      <c r="H58" s="13">
        <f t="shared" ref="H58:Q58" si="16">$E58*H54*H$22</f>
        <v>0</v>
      </c>
      <c r="I58" s="13">
        <f t="shared" si="16"/>
        <v>0</v>
      </c>
      <c r="J58" s="13">
        <f t="shared" si="16"/>
        <v>0</v>
      </c>
      <c r="K58" s="13">
        <f t="shared" si="16"/>
        <v>0</v>
      </c>
      <c r="L58" s="13">
        <f t="shared" si="16"/>
        <v>0</v>
      </c>
      <c r="M58" s="13">
        <f t="shared" si="16"/>
        <v>0</v>
      </c>
      <c r="N58" s="13">
        <f t="shared" si="16"/>
        <v>0</v>
      </c>
      <c r="O58" s="13">
        <f t="shared" si="16"/>
        <v>0</v>
      </c>
      <c r="P58" s="13">
        <f t="shared" si="16"/>
        <v>0</v>
      </c>
      <c r="Q58" s="13">
        <f t="shared" si="16"/>
        <v>0</v>
      </c>
    </row>
    <row r="59" spans="1:17" x14ac:dyDescent="0.25">
      <c r="D59" s="114" t="s">
        <v>236</v>
      </c>
      <c r="E59" s="115">
        <f>D96*B97*365*D109*D102</f>
        <v>0</v>
      </c>
      <c r="F59" s="13">
        <f>$E59*F54*F$29</f>
        <v>0</v>
      </c>
      <c r="G59" s="13">
        <f>$E59*G54*G$29</f>
        <v>0</v>
      </c>
      <c r="H59" s="13">
        <f t="shared" ref="H59:Q59" si="17">$E59*H54*H$29</f>
        <v>0</v>
      </c>
      <c r="I59" s="13">
        <f t="shared" si="17"/>
        <v>0</v>
      </c>
      <c r="J59" s="13">
        <f t="shared" si="17"/>
        <v>0</v>
      </c>
      <c r="K59" s="13">
        <f t="shared" si="17"/>
        <v>0</v>
      </c>
      <c r="L59" s="13">
        <f t="shared" si="17"/>
        <v>0</v>
      </c>
      <c r="M59" s="13">
        <f t="shared" si="17"/>
        <v>0</v>
      </c>
      <c r="N59" s="13">
        <f t="shared" si="17"/>
        <v>0</v>
      </c>
      <c r="O59" s="13">
        <f t="shared" si="17"/>
        <v>0</v>
      </c>
      <c r="P59" s="13">
        <f t="shared" si="17"/>
        <v>0</v>
      </c>
      <c r="Q59" s="13">
        <f t="shared" si="17"/>
        <v>0</v>
      </c>
    </row>
    <row r="60" spans="1:17" x14ac:dyDescent="0.25">
      <c r="A60" s="1" t="s">
        <v>256</v>
      </c>
      <c r="D60" s="114" t="s">
        <v>254</v>
      </c>
      <c r="E60" s="115"/>
      <c r="F60" s="126">
        <f>F116</f>
        <v>0</v>
      </c>
      <c r="G60" s="126">
        <f>F117</f>
        <v>0</v>
      </c>
      <c r="H60" s="126">
        <f>F118</f>
        <v>1</v>
      </c>
      <c r="I60" s="126">
        <f t="shared" ref="I60:Q60" si="18">F60</f>
        <v>0</v>
      </c>
      <c r="J60" s="126">
        <f t="shared" si="18"/>
        <v>0</v>
      </c>
      <c r="K60" s="126">
        <f t="shared" si="18"/>
        <v>1</v>
      </c>
      <c r="L60" s="126">
        <f t="shared" si="18"/>
        <v>0</v>
      </c>
      <c r="M60" s="126">
        <f t="shared" si="18"/>
        <v>0</v>
      </c>
      <c r="N60" s="126">
        <f t="shared" si="18"/>
        <v>1</v>
      </c>
      <c r="O60" s="126">
        <f t="shared" si="18"/>
        <v>0</v>
      </c>
      <c r="P60" s="126">
        <f t="shared" si="18"/>
        <v>0</v>
      </c>
      <c r="Q60" s="126">
        <f t="shared" si="18"/>
        <v>1</v>
      </c>
    </row>
    <row r="61" spans="1:17" x14ac:dyDescent="0.25">
      <c r="D61" s="114" t="s">
        <v>213</v>
      </c>
      <c r="E61" s="115">
        <f>E55</f>
        <v>0</v>
      </c>
      <c r="F61" s="13">
        <f t="shared" ref="F61:Q61" si="19">$E61*F60*F$8</f>
        <v>0</v>
      </c>
      <c r="G61" s="13">
        <f t="shared" si="19"/>
        <v>0</v>
      </c>
      <c r="H61" s="13">
        <f t="shared" si="19"/>
        <v>0</v>
      </c>
      <c r="I61" s="13">
        <f t="shared" si="19"/>
        <v>0</v>
      </c>
      <c r="J61" s="13">
        <f t="shared" si="19"/>
        <v>0</v>
      </c>
      <c r="K61" s="13">
        <f t="shared" si="19"/>
        <v>0</v>
      </c>
      <c r="L61" s="13">
        <f t="shared" si="19"/>
        <v>0</v>
      </c>
      <c r="M61" s="13">
        <f t="shared" si="19"/>
        <v>0</v>
      </c>
      <c r="N61" s="13">
        <f t="shared" si="19"/>
        <v>0</v>
      </c>
      <c r="O61" s="13">
        <f t="shared" si="19"/>
        <v>0</v>
      </c>
      <c r="P61" s="13">
        <f t="shared" si="19"/>
        <v>0</v>
      </c>
      <c r="Q61" s="13">
        <f t="shared" si="19"/>
        <v>0</v>
      </c>
    </row>
    <row r="62" spans="1:17" x14ac:dyDescent="0.25">
      <c r="D62" s="114" t="s">
        <v>228</v>
      </c>
      <c r="E62" s="115">
        <f>E56</f>
        <v>0</v>
      </c>
      <c r="F62" s="13">
        <f>$E62*F60*F$16</f>
        <v>0</v>
      </c>
      <c r="G62" s="13">
        <f>$E62*G60*G$16</f>
        <v>0</v>
      </c>
      <c r="H62" s="13">
        <f t="shared" ref="H62:Q62" si="20">$E62*H60*H$16</f>
        <v>0</v>
      </c>
      <c r="I62" s="13">
        <f t="shared" si="20"/>
        <v>0</v>
      </c>
      <c r="J62" s="13">
        <f t="shared" si="20"/>
        <v>0</v>
      </c>
      <c r="K62" s="13">
        <f t="shared" si="20"/>
        <v>0</v>
      </c>
      <c r="L62" s="13">
        <f t="shared" si="20"/>
        <v>0</v>
      </c>
      <c r="M62" s="13">
        <f t="shared" si="20"/>
        <v>0</v>
      </c>
      <c r="N62" s="13">
        <f t="shared" si="20"/>
        <v>0</v>
      </c>
      <c r="O62" s="13">
        <f t="shared" si="20"/>
        <v>0</v>
      </c>
      <c r="P62" s="13">
        <f t="shared" si="20"/>
        <v>0</v>
      </c>
      <c r="Q62" s="13">
        <f t="shared" si="20"/>
        <v>0</v>
      </c>
    </row>
    <row r="63" spans="1:17" x14ac:dyDescent="0.25">
      <c r="D63" s="114" t="s">
        <v>241</v>
      </c>
      <c r="E63" s="115">
        <f>E57</f>
        <v>0</v>
      </c>
      <c r="F63" s="13">
        <f>$E63*F60*F$8</f>
        <v>0</v>
      </c>
      <c r="G63" s="13">
        <f>$E63*G60*G$8</f>
        <v>0</v>
      </c>
      <c r="H63" s="13">
        <f t="shared" ref="H63:Q63" si="21">$E63*H60*H$8</f>
        <v>0</v>
      </c>
      <c r="I63" s="13">
        <f t="shared" si="21"/>
        <v>0</v>
      </c>
      <c r="J63" s="13">
        <f t="shared" si="21"/>
        <v>0</v>
      </c>
      <c r="K63" s="13">
        <f t="shared" si="21"/>
        <v>0</v>
      </c>
      <c r="L63" s="13">
        <f t="shared" si="21"/>
        <v>0</v>
      </c>
      <c r="M63" s="13">
        <f t="shared" si="21"/>
        <v>0</v>
      </c>
      <c r="N63" s="13">
        <f t="shared" si="21"/>
        <v>0</v>
      </c>
      <c r="O63" s="13">
        <f t="shared" si="21"/>
        <v>0</v>
      </c>
      <c r="P63" s="13">
        <f t="shared" si="21"/>
        <v>0</v>
      </c>
      <c r="Q63" s="13">
        <f t="shared" si="21"/>
        <v>0</v>
      </c>
    </row>
    <row r="64" spans="1:17" x14ac:dyDescent="0.25">
      <c r="D64" s="114" t="s">
        <v>229</v>
      </c>
      <c r="E64" s="115">
        <f>E58</f>
        <v>0</v>
      </c>
      <c r="F64" s="13">
        <f>$E64*F60*F$22</f>
        <v>0</v>
      </c>
      <c r="G64" s="13">
        <f>$E64*G60*G$22</f>
        <v>0</v>
      </c>
      <c r="H64" s="13">
        <f t="shared" ref="H64:Q64" si="22">$E64*H60*H$22</f>
        <v>0</v>
      </c>
      <c r="I64" s="13">
        <f t="shared" si="22"/>
        <v>0</v>
      </c>
      <c r="J64" s="13">
        <f t="shared" si="22"/>
        <v>0</v>
      </c>
      <c r="K64" s="13">
        <f t="shared" si="22"/>
        <v>0</v>
      </c>
      <c r="L64" s="13">
        <f t="shared" si="22"/>
        <v>0</v>
      </c>
      <c r="M64" s="13">
        <f t="shared" si="22"/>
        <v>0</v>
      </c>
      <c r="N64" s="13">
        <f t="shared" si="22"/>
        <v>0</v>
      </c>
      <c r="O64" s="13">
        <f t="shared" si="22"/>
        <v>0</v>
      </c>
      <c r="P64" s="13">
        <f t="shared" si="22"/>
        <v>0</v>
      </c>
      <c r="Q64" s="13">
        <f t="shared" si="22"/>
        <v>0</v>
      </c>
    </row>
    <row r="65" spans="1:19" x14ac:dyDescent="0.25">
      <c r="D65" s="114" t="s">
        <v>236</v>
      </c>
      <c r="E65" s="115">
        <f>E59</f>
        <v>0</v>
      </c>
      <c r="F65" s="13">
        <f>$E65*F60*F$29</f>
        <v>0</v>
      </c>
      <c r="G65" s="13">
        <f>$E65*G60*G$29</f>
        <v>0</v>
      </c>
      <c r="H65" s="13">
        <f t="shared" ref="H65:Q65" si="23">$E65*H60*H$29</f>
        <v>0</v>
      </c>
      <c r="I65" s="13">
        <f t="shared" si="23"/>
        <v>0</v>
      </c>
      <c r="J65" s="13">
        <f t="shared" si="23"/>
        <v>0</v>
      </c>
      <c r="K65" s="13">
        <f t="shared" si="23"/>
        <v>0</v>
      </c>
      <c r="L65" s="13">
        <f t="shared" si="23"/>
        <v>0</v>
      </c>
      <c r="M65" s="13">
        <f t="shared" si="23"/>
        <v>0</v>
      </c>
      <c r="N65" s="13">
        <f t="shared" si="23"/>
        <v>0</v>
      </c>
      <c r="O65" s="13">
        <f t="shared" si="23"/>
        <v>0</v>
      </c>
      <c r="P65" s="13">
        <f t="shared" si="23"/>
        <v>0</v>
      </c>
      <c r="Q65" s="13">
        <f t="shared" si="23"/>
        <v>0</v>
      </c>
    </row>
    <row r="66" spans="1:19" x14ac:dyDescent="0.25">
      <c r="A66" s="1" t="s">
        <v>257</v>
      </c>
      <c r="D66" s="114" t="s">
        <v>254</v>
      </c>
      <c r="E66" s="115"/>
      <c r="F66" s="126">
        <f>E120</f>
        <v>0</v>
      </c>
      <c r="G66" s="126">
        <f>E121</f>
        <v>0</v>
      </c>
      <c r="H66" s="126">
        <f>E122</f>
        <v>1</v>
      </c>
      <c r="I66" s="126">
        <f t="shared" ref="I66:Q66" si="24">F66</f>
        <v>0</v>
      </c>
      <c r="J66" s="126">
        <f t="shared" si="24"/>
        <v>0</v>
      </c>
      <c r="K66" s="126">
        <f t="shared" si="24"/>
        <v>1</v>
      </c>
      <c r="L66" s="126">
        <f t="shared" si="24"/>
        <v>0</v>
      </c>
      <c r="M66" s="126">
        <f t="shared" si="24"/>
        <v>0</v>
      </c>
      <c r="N66" s="126">
        <f t="shared" si="24"/>
        <v>1</v>
      </c>
      <c r="O66" s="126">
        <f t="shared" si="24"/>
        <v>0</v>
      </c>
      <c r="P66" s="126">
        <f t="shared" si="24"/>
        <v>0</v>
      </c>
      <c r="Q66" s="126">
        <f t="shared" si="24"/>
        <v>1</v>
      </c>
    </row>
    <row r="67" spans="1:19" x14ac:dyDescent="0.25">
      <c r="A67" s="1"/>
      <c r="D67" s="114" t="s">
        <v>213</v>
      </c>
      <c r="E67" s="115">
        <f>D96*B97*365*D110*D100</f>
        <v>0</v>
      </c>
      <c r="F67" s="13">
        <f t="shared" ref="F67:Q67" si="25">$E67*F66*F$8</f>
        <v>0</v>
      </c>
      <c r="G67" s="13">
        <f t="shared" si="25"/>
        <v>0</v>
      </c>
      <c r="H67" s="13">
        <f t="shared" si="25"/>
        <v>0</v>
      </c>
      <c r="I67" s="13">
        <f t="shared" si="25"/>
        <v>0</v>
      </c>
      <c r="J67" s="13">
        <f t="shared" si="25"/>
        <v>0</v>
      </c>
      <c r="K67" s="13">
        <f t="shared" si="25"/>
        <v>0</v>
      </c>
      <c r="L67" s="13">
        <f t="shared" si="25"/>
        <v>0</v>
      </c>
      <c r="M67" s="13">
        <f t="shared" si="25"/>
        <v>0</v>
      </c>
      <c r="N67" s="13">
        <f t="shared" si="25"/>
        <v>0</v>
      </c>
      <c r="O67" s="13">
        <f t="shared" si="25"/>
        <v>0</v>
      </c>
      <c r="P67" s="13">
        <f t="shared" si="25"/>
        <v>0</v>
      </c>
      <c r="Q67" s="13">
        <f t="shared" si="25"/>
        <v>0</v>
      </c>
    </row>
    <row r="68" spans="1:19" x14ac:dyDescent="0.25">
      <c r="D68" s="114" t="s">
        <v>228</v>
      </c>
      <c r="E68" s="115">
        <f>D96*B97*365*D110*D101</f>
        <v>0</v>
      </c>
      <c r="F68" s="13">
        <f>$E68*F66*F$16</f>
        <v>0</v>
      </c>
      <c r="G68" s="13">
        <f>$E68*G66*G$16</f>
        <v>0</v>
      </c>
      <c r="H68" s="13">
        <f t="shared" ref="H68:Q68" si="26">$E68*H66*H$16</f>
        <v>0</v>
      </c>
      <c r="I68" s="13">
        <f t="shared" si="26"/>
        <v>0</v>
      </c>
      <c r="J68" s="13">
        <f t="shared" si="26"/>
        <v>0</v>
      </c>
      <c r="K68" s="13">
        <f t="shared" si="26"/>
        <v>0</v>
      </c>
      <c r="L68" s="13">
        <f t="shared" si="26"/>
        <v>0</v>
      </c>
      <c r="M68" s="13">
        <f t="shared" si="26"/>
        <v>0</v>
      </c>
      <c r="N68" s="13">
        <f t="shared" si="26"/>
        <v>0</v>
      </c>
      <c r="O68" s="13">
        <f t="shared" si="26"/>
        <v>0</v>
      </c>
      <c r="P68" s="13">
        <f t="shared" si="26"/>
        <v>0</v>
      </c>
      <c r="Q68" s="13">
        <f t="shared" si="26"/>
        <v>0</v>
      </c>
    </row>
    <row r="69" spans="1:19" x14ac:dyDescent="0.25">
      <c r="D69" s="114" t="s">
        <v>241</v>
      </c>
      <c r="E69" s="115">
        <f>D96*B97*365*D110*D105</f>
        <v>0</v>
      </c>
      <c r="F69" s="13">
        <f>$E69*F66*F$8</f>
        <v>0</v>
      </c>
      <c r="G69" s="13">
        <f>$E69*G66*G$8</f>
        <v>0</v>
      </c>
      <c r="H69" s="13">
        <f t="shared" ref="H69:Q69" si="27">$E69*H66*H$8</f>
        <v>0</v>
      </c>
      <c r="I69" s="13">
        <f t="shared" si="27"/>
        <v>0</v>
      </c>
      <c r="J69" s="13">
        <f t="shared" si="27"/>
        <v>0</v>
      </c>
      <c r="K69" s="13">
        <f t="shared" si="27"/>
        <v>0</v>
      </c>
      <c r="L69" s="13">
        <f t="shared" si="27"/>
        <v>0</v>
      </c>
      <c r="M69" s="13">
        <f t="shared" si="27"/>
        <v>0</v>
      </c>
      <c r="N69" s="13">
        <f t="shared" si="27"/>
        <v>0</v>
      </c>
      <c r="O69" s="13">
        <f t="shared" si="27"/>
        <v>0</v>
      </c>
      <c r="P69" s="13">
        <f t="shared" si="27"/>
        <v>0</v>
      </c>
      <c r="Q69" s="13">
        <f t="shared" si="27"/>
        <v>0</v>
      </c>
    </row>
    <row r="70" spans="1:19" x14ac:dyDescent="0.25">
      <c r="D70" s="114" t="s">
        <v>229</v>
      </c>
      <c r="E70" s="115">
        <f>D96*B97*365*D110*D106</f>
        <v>0</v>
      </c>
      <c r="F70" s="13">
        <f>$E70*F66*F$22</f>
        <v>0</v>
      </c>
      <c r="G70" s="13">
        <f>$E70*G66*G$22</f>
        <v>0</v>
      </c>
      <c r="H70" s="13">
        <f t="shared" ref="H70:Q70" si="28">$E70*H66*H$22</f>
        <v>0</v>
      </c>
      <c r="I70" s="13">
        <f t="shared" si="28"/>
        <v>0</v>
      </c>
      <c r="J70" s="13">
        <f t="shared" si="28"/>
        <v>0</v>
      </c>
      <c r="K70" s="13">
        <f t="shared" si="28"/>
        <v>0</v>
      </c>
      <c r="L70" s="13">
        <f t="shared" si="28"/>
        <v>0</v>
      </c>
      <c r="M70" s="13">
        <f t="shared" si="28"/>
        <v>0</v>
      </c>
      <c r="N70" s="13">
        <f t="shared" si="28"/>
        <v>0</v>
      </c>
      <c r="O70" s="13">
        <f t="shared" si="28"/>
        <v>0</v>
      </c>
      <c r="P70" s="13">
        <f t="shared" si="28"/>
        <v>0</v>
      </c>
      <c r="Q70" s="13">
        <f t="shared" si="28"/>
        <v>0</v>
      </c>
    </row>
    <row r="71" spans="1:19" x14ac:dyDescent="0.25">
      <c r="D71" s="114" t="s">
        <v>236</v>
      </c>
      <c r="E71" s="115">
        <f>D96*B97*365*D110*D102</f>
        <v>0</v>
      </c>
      <c r="F71" s="13">
        <f>$E71*F66*F$29</f>
        <v>0</v>
      </c>
      <c r="G71" s="13">
        <f>$E71*G66*G$29</f>
        <v>0</v>
      </c>
      <c r="H71" s="13">
        <f t="shared" ref="H71:Q71" si="29">$E71*H66*H$29</f>
        <v>0</v>
      </c>
      <c r="I71" s="13">
        <f t="shared" si="29"/>
        <v>0</v>
      </c>
      <c r="J71" s="13">
        <f t="shared" si="29"/>
        <v>0</v>
      </c>
      <c r="K71" s="13">
        <f t="shared" si="29"/>
        <v>0</v>
      </c>
      <c r="L71" s="13">
        <f t="shared" si="29"/>
        <v>0</v>
      </c>
      <c r="M71" s="13">
        <f t="shared" si="29"/>
        <v>0</v>
      </c>
      <c r="N71" s="13">
        <f t="shared" si="29"/>
        <v>0</v>
      </c>
      <c r="O71" s="13">
        <f t="shared" si="29"/>
        <v>0</v>
      </c>
      <c r="P71" s="13">
        <f t="shared" si="29"/>
        <v>0</v>
      </c>
      <c r="Q71" s="13">
        <f t="shared" si="29"/>
        <v>0</v>
      </c>
    </row>
    <row r="72" spans="1:19" x14ac:dyDescent="0.25">
      <c r="A72" s="1" t="s">
        <v>258</v>
      </c>
      <c r="D72" s="114" t="s">
        <v>254</v>
      </c>
      <c r="E72" s="115"/>
      <c r="F72" s="126">
        <f>F120</f>
        <v>0</v>
      </c>
      <c r="G72" s="126">
        <f>F121</f>
        <v>0</v>
      </c>
      <c r="H72" s="126">
        <f>F122</f>
        <v>1</v>
      </c>
      <c r="I72" s="126">
        <f t="shared" ref="I72:Q72" si="30">F72</f>
        <v>0</v>
      </c>
      <c r="J72" s="126">
        <f t="shared" si="30"/>
        <v>0</v>
      </c>
      <c r="K72" s="126">
        <f t="shared" si="30"/>
        <v>1</v>
      </c>
      <c r="L72" s="126">
        <f t="shared" si="30"/>
        <v>0</v>
      </c>
      <c r="M72" s="126">
        <f t="shared" si="30"/>
        <v>0</v>
      </c>
      <c r="N72" s="126">
        <f t="shared" si="30"/>
        <v>1</v>
      </c>
      <c r="O72" s="126">
        <f t="shared" si="30"/>
        <v>0</v>
      </c>
      <c r="P72" s="126">
        <f t="shared" si="30"/>
        <v>0</v>
      </c>
      <c r="Q72" s="126">
        <f t="shared" si="30"/>
        <v>1</v>
      </c>
    </row>
    <row r="73" spans="1:19" x14ac:dyDescent="0.25">
      <c r="D73" s="114" t="s">
        <v>213</v>
      </c>
      <c r="E73" s="115">
        <f>E67</f>
        <v>0</v>
      </c>
      <c r="F73" s="13">
        <f t="shared" ref="F73:Q73" si="31">$E73*F72*F$8</f>
        <v>0</v>
      </c>
      <c r="G73" s="13">
        <f t="shared" si="31"/>
        <v>0</v>
      </c>
      <c r="H73" s="13">
        <f t="shared" si="31"/>
        <v>0</v>
      </c>
      <c r="I73" s="13">
        <f t="shared" si="31"/>
        <v>0</v>
      </c>
      <c r="J73" s="13">
        <f t="shared" si="31"/>
        <v>0</v>
      </c>
      <c r="K73" s="13">
        <f t="shared" si="31"/>
        <v>0</v>
      </c>
      <c r="L73" s="13">
        <f t="shared" si="31"/>
        <v>0</v>
      </c>
      <c r="M73" s="13">
        <f t="shared" si="31"/>
        <v>0</v>
      </c>
      <c r="N73" s="13">
        <f t="shared" si="31"/>
        <v>0</v>
      </c>
      <c r="O73" s="13">
        <f t="shared" si="31"/>
        <v>0</v>
      </c>
      <c r="P73" s="13">
        <f t="shared" si="31"/>
        <v>0</v>
      </c>
      <c r="Q73" s="13">
        <f t="shared" si="31"/>
        <v>0</v>
      </c>
    </row>
    <row r="74" spans="1:19" x14ac:dyDescent="0.25">
      <c r="D74" s="114" t="s">
        <v>228</v>
      </c>
      <c r="E74" s="115">
        <f>E68</f>
        <v>0</v>
      </c>
      <c r="F74" s="13">
        <f>$E74*F72*F$16</f>
        <v>0</v>
      </c>
      <c r="G74" s="13">
        <f>$E74*G72*G$16</f>
        <v>0</v>
      </c>
      <c r="H74" s="13">
        <f t="shared" ref="H74:Q74" si="32">$E74*H72*H$16</f>
        <v>0</v>
      </c>
      <c r="I74" s="13">
        <f t="shared" si="32"/>
        <v>0</v>
      </c>
      <c r="J74" s="13">
        <f t="shared" si="32"/>
        <v>0</v>
      </c>
      <c r="K74" s="13">
        <f t="shared" si="32"/>
        <v>0</v>
      </c>
      <c r="L74" s="13">
        <f t="shared" si="32"/>
        <v>0</v>
      </c>
      <c r="M74" s="13">
        <f t="shared" si="32"/>
        <v>0</v>
      </c>
      <c r="N74" s="13">
        <f t="shared" si="32"/>
        <v>0</v>
      </c>
      <c r="O74" s="13">
        <f t="shared" si="32"/>
        <v>0</v>
      </c>
      <c r="P74" s="13">
        <f t="shared" si="32"/>
        <v>0</v>
      </c>
      <c r="Q74" s="13">
        <f t="shared" si="32"/>
        <v>0</v>
      </c>
    </row>
    <row r="75" spans="1:19" x14ac:dyDescent="0.25">
      <c r="D75" s="114" t="s">
        <v>241</v>
      </c>
      <c r="E75" s="115">
        <f>E69</f>
        <v>0</v>
      </c>
      <c r="F75" s="13">
        <f>$E75*F72*F$8</f>
        <v>0</v>
      </c>
      <c r="G75" s="13">
        <f>$E75*G72*G$8</f>
        <v>0</v>
      </c>
      <c r="H75" s="13">
        <f t="shared" ref="H75:Q75" si="33">$E75*H72*H$8</f>
        <v>0</v>
      </c>
      <c r="I75" s="13">
        <f t="shared" si="33"/>
        <v>0</v>
      </c>
      <c r="J75" s="13">
        <f t="shared" si="33"/>
        <v>0</v>
      </c>
      <c r="K75" s="13">
        <f t="shared" si="33"/>
        <v>0</v>
      </c>
      <c r="L75" s="13">
        <f t="shared" si="33"/>
        <v>0</v>
      </c>
      <c r="M75" s="13">
        <f t="shared" si="33"/>
        <v>0</v>
      </c>
      <c r="N75" s="13">
        <f t="shared" si="33"/>
        <v>0</v>
      </c>
      <c r="O75" s="13">
        <f t="shared" si="33"/>
        <v>0</v>
      </c>
      <c r="P75" s="13">
        <f t="shared" si="33"/>
        <v>0</v>
      </c>
      <c r="Q75" s="13">
        <f t="shared" si="33"/>
        <v>0</v>
      </c>
    </row>
    <row r="76" spans="1:19" x14ac:dyDescent="0.25">
      <c r="D76" s="114" t="s">
        <v>229</v>
      </c>
      <c r="E76" s="115">
        <f>E70</f>
        <v>0</v>
      </c>
      <c r="F76" s="13">
        <f>$E76*F72*F$22</f>
        <v>0</v>
      </c>
      <c r="G76" s="13">
        <f>$E76*G72*G$22</f>
        <v>0</v>
      </c>
      <c r="H76" s="13">
        <f t="shared" ref="H76:Q76" si="34">$E76*H72*H$22</f>
        <v>0</v>
      </c>
      <c r="I76" s="13">
        <f t="shared" si="34"/>
        <v>0</v>
      </c>
      <c r="J76" s="13">
        <f t="shared" si="34"/>
        <v>0</v>
      </c>
      <c r="K76" s="13">
        <f t="shared" si="34"/>
        <v>0</v>
      </c>
      <c r="L76" s="13">
        <f t="shared" si="34"/>
        <v>0</v>
      </c>
      <c r="M76" s="13">
        <f t="shared" si="34"/>
        <v>0</v>
      </c>
      <c r="N76" s="13">
        <f t="shared" si="34"/>
        <v>0</v>
      </c>
      <c r="O76" s="13">
        <f t="shared" si="34"/>
        <v>0</v>
      </c>
      <c r="P76" s="13">
        <f t="shared" si="34"/>
        <v>0</v>
      </c>
      <c r="Q76" s="13">
        <f t="shared" si="34"/>
        <v>0</v>
      </c>
    </row>
    <row r="77" spans="1:19" x14ac:dyDescent="0.25">
      <c r="D77" s="114" t="s">
        <v>236</v>
      </c>
      <c r="E77" s="115">
        <f>E71</f>
        <v>0</v>
      </c>
      <c r="F77" s="13">
        <f>$E77*F72*F$29</f>
        <v>0</v>
      </c>
      <c r="G77" s="13">
        <f>$E77*G72*G$29</f>
        <v>0</v>
      </c>
      <c r="H77" s="13">
        <f t="shared" ref="H77:Q77" si="35">$E77*H72*H$29</f>
        <v>0</v>
      </c>
      <c r="I77" s="13">
        <f t="shared" si="35"/>
        <v>0</v>
      </c>
      <c r="J77" s="13">
        <f t="shared" si="35"/>
        <v>0</v>
      </c>
      <c r="K77" s="13">
        <f t="shared" si="35"/>
        <v>0</v>
      </c>
      <c r="L77" s="13">
        <f t="shared" si="35"/>
        <v>0</v>
      </c>
      <c r="M77" s="13">
        <f t="shared" si="35"/>
        <v>0</v>
      </c>
      <c r="N77" s="13">
        <f t="shared" si="35"/>
        <v>0</v>
      </c>
      <c r="O77" s="13">
        <f t="shared" si="35"/>
        <v>0</v>
      </c>
      <c r="P77" s="13">
        <f t="shared" si="35"/>
        <v>0</v>
      </c>
      <c r="Q77" s="13">
        <f t="shared" si="35"/>
        <v>0</v>
      </c>
    </row>
    <row r="78" spans="1:19" x14ac:dyDescent="0.25">
      <c r="D78" s="114"/>
      <c r="E78" s="115"/>
      <c r="F78" s="13"/>
      <c r="G78" s="13"/>
      <c r="H78" s="13"/>
      <c r="I78" s="13"/>
      <c r="J78" s="13"/>
      <c r="K78" s="13"/>
      <c r="L78" s="13"/>
      <c r="M78" s="13"/>
      <c r="N78" s="13"/>
      <c r="O78" s="13"/>
      <c r="P78" s="13"/>
      <c r="Q78" s="13"/>
    </row>
    <row r="79" spans="1:19" x14ac:dyDescent="0.25">
      <c r="D79" s="114"/>
      <c r="E79" s="128" t="s">
        <v>264</v>
      </c>
      <c r="G79" s="13"/>
      <c r="H79" s="13"/>
      <c r="I79" s="13"/>
      <c r="J79" s="128" t="s">
        <v>270</v>
      </c>
      <c r="K79" s="13"/>
      <c r="L79" s="13"/>
      <c r="M79" s="13"/>
      <c r="N79" s="13"/>
      <c r="O79" s="128" t="s">
        <v>276</v>
      </c>
      <c r="P79" s="13"/>
      <c r="Q79" s="13"/>
      <c r="R79" s="13"/>
    </row>
    <row r="80" spans="1:19" x14ac:dyDescent="0.25">
      <c r="D80" s="114"/>
      <c r="E80" s="128" t="s">
        <v>260</v>
      </c>
      <c r="F80" s="128" t="s">
        <v>261</v>
      </c>
      <c r="G80" s="128" t="s">
        <v>262</v>
      </c>
      <c r="H80" s="128" t="s">
        <v>263</v>
      </c>
      <c r="J80" s="128" t="s">
        <v>271</v>
      </c>
      <c r="K80" s="128" t="s">
        <v>272</v>
      </c>
      <c r="L80" s="128" t="s">
        <v>273</v>
      </c>
      <c r="M80" s="128" t="s">
        <v>274</v>
      </c>
      <c r="O80" s="128" t="s">
        <v>271</v>
      </c>
      <c r="P80" s="128" t="s">
        <v>272</v>
      </c>
      <c r="Q80" s="128" t="s">
        <v>273</v>
      </c>
      <c r="R80" s="128" t="s">
        <v>274</v>
      </c>
      <c r="S80" s="128" t="s">
        <v>277</v>
      </c>
    </row>
    <row r="81" spans="1:19" x14ac:dyDescent="0.25">
      <c r="D81" s="114" t="s">
        <v>252</v>
      </c>
      <c r="E81" s="13">
        <f>SUM(F43:H47)</f>
        <v>2542323.2569111884</v>
      </c>
      <c r="F81" s="13">
        <f>SUM(I43:K47)</f>
        <v>338970.16251828056</v>
      </c>
      <c r="G81" s="13">
        <f>SUM(L43:N47)</f>
        <v>68063.883236957481</v>
      </c>
      <c r="H81" s="13">
        <f>SUM(O43:Q47)</f>
        <v>582609878.9982605</v>
      </c>
      <c r="I81" s="114" t="s">
        <v>242</v>
      </c>
      <c r="J81" s="127">
        <f>(E82-E81)/1000</f>
        <v>-63.919633488535879</v>
      </c>
      <c r="K81" s="127">
        <f>(F82-F81)/1000</f>
        <v>-9.7043684503803966</v>
      </c>
      <c r="L81" s="127">
        <f>(G82-G81)/1000</f>
        <v>-1.9883740485092858</v>
      </c>
      <c r="M81" s="127">
        <f>(H82-H81)/1000000</f>
        <v>-14.596550684280395</v>
      </c>
      <c r="N81" s="114" t="s">
        <v>242</v>
      </c>
      <c r="O81" s="127">
        <f t="shared" ref="O81:R83" si="36">J81*J$97</f>
        <v>-7480.5914107235394</v>
      </c>
      <c r="P81" s="127">
        <f t="shared" si="36"/>
        <v>0</v>
      </c>
      <c r="Q81" s="127">
        <f t="shared" si="36"/>
        <v>-3816.3095355127589</v>
      </c>
      <c r="R81" s="127">
        <f t="shared" si="36"/>
        <v>-3587.328869128527</v>
      </c>
      <c r="S81" s="129">
        <f>SUM(O81:R81)</f>
        <v>-14884.229815364826</v>
      </c>
    </row>
    <row r="82" spans="1:19" x14ac:dyDescent="0.25">
      <c r="D82" s="114" t="s">
        <v>251</v>
      </c>
      <c r="E82" s="13">
        <f>SUM(F49:H53)</f>
        <v>2478403.6234226525</v>
      </c>
      <c r="F82" s="13">
        <f>SUM(I49:K53)</f>
        <v>329265.79406790016</v>
      </c>
      <c r="G82" s="13">
        <f>SUM(L49:N53)</f>
        <v>66075.509188448195</v>
      </c>
      <c r="H82" s="13">
        <f>SUM(O49:Q53)</f>
        <v>568013328.3139801</v>
      </c>
      <c r="I82" s="114" t="s">
        <v>197</v>
      </c>
      <c r="J82" s="127">
        <f>(E84-E83)/1000</f>
        <v>0</v>
      </c>
      <c r="K82" s="127">
        <f>(F84-F83)/1000</f>
        <v>0</v>
      </c>
      <c r="L82" s="127">
        <f>(G84-G83)/1000</f>
        <v>0</v>
      </c>
      <c r="M82" s="127">
        <f>(H84-H83)/1000000</f>
        <v>0</v>
      </c>
      <c r="N82" s="114" t="s">
        <v>197</v>
      </c>
      <c r="O82" s="127">
        <f t="shared" si="36"/>
        <v>0</v>
      </c>
      <c r="P82" s="127">
        <f t="shared" si="36"/>
        <v>0</v>
      </c>
      <c r="Q82" s="127">
        <f t="shared" si="36"/>
        <v>0</v>
      </c>
      <c r="R82" s="127">
        <f t="shared" si="36"/>
        <v>0</v>
      </c>
      <c r="S82" s="129">
        <f>SUM(O82:R82)</f>
        <v>0</v>
      </c>
    </row>
    <row r="83" spans="1:19" x14ac:dyDescent="0.25">
      <c r="D83" s="114" t="s">
        <v>255</v>
      </c>
      <c r="E83" s="13">
        <f>SUM(F55:H59)</f>
        <v>0</v>
      </c>
      <c r="F83" s="13">
        <f>SUM(I55:K59)</f>
        <v>0</v>
      </c>
      <c r="G83" s="13">
        <f>SUM(L55:N59)</f>
        <v>0</v>
      </c>
      <c r="H83" s="13">
        <f>SUM(O55:Q59)</f>
        <v>0</v>
      </c>
      <c r="I83" s="114" t="s">
        <v>200</v>
      </c>
      <c r="J83" s="127">
        <f>(E86-E85)/1000</f>
        <v>0</v>
      </c>
      <c r="K83" s="127">
        <f>(F86-F85)/1000</f>
        <v>0</v>
      </c>
      <c r="L83" s="127">
        <f>(G86-G85)/1000</f>
        <v>0</v>
      </c>
      <c r="M83" s="127">
        <f>(H86-H85)/1000000</f>
        <v>0</v>
      </c>
      <c r="N83" s="114" t="s">
        <v>200</v>
      </c>
      <c r="O83" s="127">
        <f t="shared" si="36"/>
        <v>0</v>
      </c>
      <c r="P83" s="127">
        <f t="shared" si="36"/>
        <v>0</v>
      </c>
      <c r="Q83" s="127">
        <f t="shared" si="36"/>
        <v>0</v>
      </c>
      <c r="R83" s="127">
        <f t="shared" si="36"/>
        <v>0</v>
      </c>
      <c r="S83" s="129">
        <f>SUM(O83:R83)</f>
        <v>0</v>
      </c>
    </row>
    <row r="84" spans="1:19" x14ac:dyDescent="0.25">
      <c r="D84" s="114" t="s">
        <v>256</v>
      </c>
      <c r="E84" s="13">
        <f>SUM(F61:H65)</f>
        <v>0</v>
      </c>
      <c r="F84" s="13">
        <f>SUM(I61:K65)</f>
        <v>0</v>
      </c>
      <c r="G84" s="13">
        <f>SUM(L61:N65)</f>
        <v>0</v>
      </c>
      <c r="H84" s="13">
        <f>SUM(O61:Q65)</f>
        <v>0</v>
      </c>
      <c r="I84" s="114"/>
      <c r="J84" s="127"/>
      <c r="K84" s="127"/>
      <c r="L84" s="121"/>
      <c r="M84" s="13"/>
      <c r="N84" s="13"/>
      <c r="P84" s="13"/>
      <c r="Q84" s="13"/>
    </row>
    <row r="85" spans="1:19" x14ac:dyDescent="0.25">
      <c r="D85" s="114" t="s">
        <v>257</v>
      </c>
      <c r="E85" s="115">
        <f>SUM(F67:H71)</f>
        <v>0</v>
      </c>
      <c r="F85" s="115">
        <f>SUM(I67:K71)</f>
        <v>0</v>
      </c>
      <c r="G85" s="115">
        <f>SUM(L67:N71)</f>
        <v>0</v>
      </c>
      <c r="H85" s="115">
        <f>SUM(O67:Q71)</f>
        <v>0</v>
      </c>
      <c r="J85" s="128" t="s">
        <v>275</v>
      </c>
      <c r="K85" s="13"/>
      <c r="L85" s="13"/>
      <c r="N85" s="13"/>
      <c r="O85" s="128" t="s">
        <v>461</v>
      </c>
      <c r="P85" s="13"/>
      <c r="Q85" s="13"/>
      <c r="R85" s="13"/>
    </row>
    <row r="86" spans="1:19" x14ac:dyDescent="0.25">
      <c r="D86" s="114" t="s">
        <v>258</v>
      </c>
      <c r="E86" s="115">
        <f>SUM(F73:H77)</f>
        <v>0</v>
      </c>
      <c r="F86" s="115">
        <f>SUM(I73:K77)</f>
        <v>0</v>
      </c>
      <c r="G86" s="115">
        <f>SUM(L73:N77)</f>
        <v>0</v>
      </c>
      <c r="H86" s="115">
        <f>SUM(O73:Q77)</f>
        <v>0</v>
      </c>
      <c r="I86" s="405" t="s">
        <v>752</v>
      </c>
      <c r="J86" s="128" t="s">
        <v>271</v>
      </c>
      <c r="K86" s="128" t="s">
        <v>272</v>
      </c>
      <c r="L86" s="128" t="s">
        <v>273</v>
      </c>
      <c r="M86" s="128" t="s">
        <v>274</v>
      </c>
      <c r="O86" s="128" t="s">
        <v>260</v>
      </c>
      <c r="P86" s="128" t="s">
        <v>261</v>
      </c>
      <c r="Q86" s="128" t="s">
        <v>262</v>
      </c>
      <c r="R86" s="128" t="s">
        <v>263</v>
      </c>
      <c r="S86" s="128"/>
    </row>
    <row r="87" spans="1:19" x14ac:dyDescent="0.25">
      <c r="D87" s="114"/>
      <c r="E87" s="115"/>
      <c r="F87" s="115"/>
      <c r="G87" s="115"/>
      <c r="H87" s="115"/>
      <c r="I87" s="131" t="str">
        <f>'Data-beregninger'!A100</f>
        <v>Annet område</v>
      </c>
      <c r="J87" s="12">
        <f>'Data-beregninger'!B100</f>
        <v>58.515599999999992</v>
      </c>
      <c r="K87" s="12"/>
      <c r="L87" s="12">
        <f>'Data-beregninger'!C100</f>
        <v>514.93727999999999</v>
      </c>
      <c r="M87" s="12">
        <f>'Data-beregninger'!D100</f>
        <v>245.76552000000001</v>
      </c>
      <c r="N87" s="114" t="s">
        <v>242</v>
      </c>
      <c r="O87" s="217">
        <f>100*(-1+E82/E81)</f>
        <v>-2.5142213255050616</v>
      </c>
      <c r="P87" s="217">
        <f>100*(-1+F82/F81)</f>
        <v>-2.8628975418616753</v>
      </c>
      <c r="Q87" s="217">
        <f>100*(-1+G82/G81)</f>
        <v>-2.9213350075648292</v>
      </c>
      <c r="R87" s="217">
        <f>100*(-1+H82/H81)</f>
        <v>-2.5053730138214769</v>
      </c>
      <c r="S87" s="129"/>
    </row>
    <row r="88" spans="1:19" x14ac:dyDescent="0.25">
      <c r="D88" s="114"/>
      <c r="E88" s="115"/>
      <c r="F88" s="115"/>
      <c r="G88" s="115"/>
      <c r="H88" s="115"/>
      <c r="I88" s="131" t="str">
        <f>'Data-beregninger'!A101</f>
        <v>By</v>
      </c>
      <c r="J88" s="12">
        <f>'Data-beregninger'!B101</f>
        <v>117.03119999999998</v>
      </c>
      <c r="K88" s="12"/>
      <c r="L88" s="12">
        <f>'Data-beregninger'!C101</f>
        <v>1919.31168</v>
      </c>
      <c r="M88" s="12">
        <f>'Data-beregninger'!D101</f>
        <v>245.76552000000001</v>
      </c>
      <c r="N88" s="114" t="s">
        <v>197</v>
      </c>
      <c r="O88" s="217" t="e">
        <f>100*(-1+E84/E83)</f>
        <v>#DIV/0!</v>
      </c>
      <c r="P88" s="217" t="e">
        <f>100*(-1+F84/F83)</f>
        <v>#DIV/0!</v>
      </c>
      <c r="Q88" s="217" t="e">
        <f>100*(-1+G84/G83)</f>
        <v>#DIV/0!</v>
      </c>
      <c r="R88" s="217" t="e">
        <f>100*(-1+H84/H83)</f>
        <v>#DIV/0!</v>
      </c>
      <c r="S88" s="129"/>
    </row>
    <row r="89" spans="1:19" x14ac:dyDescent="0.25">
      <c r="D89" s="114"/>
      <c r="E89" s="115"/>
      <c r="F89" s="115"/>
      <c r="G89" s="115"/>
      <c r="H89" s="115"/>
      <c r="I89" s="131" t="str">
        <f>'Data-beregninger'!A102</f>
        <v>Storby</v>
      </c>
      <c r="J89" s="12">
        <f>'Data-beregninger'!B102</f>
        <v>234.06239999999997</v>
      </c>
      <c r="K89" s="12"/>
      <c r="L89" s="12">
        <f>'Data-beregninger'!C102</f>
        <v>4213.1232</v>
      </c>
      <c r="M89" s="12">
        <f>'Data-beregninger'!D102</f>
        <v>245.76552000000001</v>
      </c>
      <c r="N89" s="114" t="s">
        <v>200</v>
      </c>
      <c r="O89" s="217" t="e">
        <f>100*(-1+E86/E85)</f>
        <v>#DIV/0!</v>
      </c>
      <c r="P89" s="217" t="e">
        <f>100*(-1+F86/F85)</f>
        <v>#DIV/0!</v>
      </c>
      <c r="Q89" s="217" t="e">
        <f>100*(-1+G86/G85)</f>
        <v>#DIV/0!</v>
      </c>
      <c r="R89" s="217" t="e">
        <f>100*(-1+H86/H85)</f>
        <v>#DIV/0!</v>
      </c>
      <c r="S89" s="129"/>
    </row>
    <row r="90" spans="1:19" x14ac:dyDescent="0.25">
      <c r="D90" s="114"/>
      <c r="E90" s="115"/>
      <c r="F90" s="115"/>
      <c r="G90" s="115"/>
      <c r="H90" s="115"/>
      <c r="I90" s="498"/>
      <c r="J90" s="498"/>
      <c r="K90" s="498"/>
      <c r="L90" s="498"/>
      <c r="M90" s="498"/>
    </row>
    <row r="91" spans="1:19" x14ac:dyDescent="0.25">
      <c r="D91" s="114"/>
      <c r="E91" s="115"/>
      <c r="F91" s="115"/>
      <c r="G91" s="115"/>
      <c r="I91" s="498"/>
      <c r="J91" s="498"/>
      <c r="K91" s="498"/>
      <c r="L91" s="498"/>
      <c r="M91" s="498"/>
    </row>
    <row r="92" spans="1:19" x14ac:dyDescent="0.25">
      <c r="D92" s="114"/>
      <c r="E92" s="115"/>
      <c r="F92" s="115"/>
      <c r="G92" s="115"/>
      <c r="H92" s="115"/>
      <c r="I92" s="498"/>
      <c r="J92" s="498"/>
      <c r="K92" s="498"/>
      <c r="L92" s="498"/>
      <c r="M92" s="498"/>
    </row>
    <row r="93" spans="1:19" x14ac:dyDescent="0.25">
      <c r="G93" s="110"/>
      <c r="I93" s="498"/>
      <c r="J93" s="498"/>
      <c r="K93" s="498"/>
      <c r="L93" s="498"/>
      <c r="M93" s="498"/>
    </row>
    <row r="94" spans="1:19" x14ac:dyDescent="0.25">
      <c r="A94" s="216" t="s">
        <v>460</v>
      </c>
      <c r="G94" s="110"/>
      <c r="I94" s="498"/>
      <c r="J94" s="498"/>
      <c r="K94" s="498"/>
      <c r="L94" s="498"/>
      <c r="M94" s="498"/>
    </row>
    <row r="95" spans="1:19" x14ac:dyDescent="0.25">
      <c r="A95" s="96" t="s">
        <v>265</v>
      </c>
      <c r="B95" s="5" t="str">
        <f>'2 Fartsregulerende tiltak 2'!E45</f>
        <v>By</v>
      </c>
      <c r="I95" s="498"/>
      <c r="J95" s="498"/>
      <c r="K95" s="498"/>
      <c r="L95" s="498"/>
      <c r="M95" s="498"/>
    </row>
    <row r="96" spans="1:19" x14ac:dyDescent="0.25">
      <c r="A96" s="96" t="s">
        <v>2</v>
      </c>
      <c r="B96" s="112">
        <f>'2 Fartsregulerende tiltak 2'!D46</f>
        <v>500</v>
      </c>
      <c r="C96" s="80" t="s">
        <v>43</v>
      </c>
      <c r="D96" s="120">
        <f>B96/1000</f>
        <v>0.5</v>
      </c>
    </row>
    <row r="97" spans="1:14" x14ac:dyDescent="0.25">
      <c r="A97" s="96" t="s">
        <v>3</v>
      </c>
      <c r="B97" s="112">
        <f>'2 Fartsregulerende tiltak 2'!D47</f>
        <v>50000</v>
      </c>
      <c r="C97" s="80" t="s">
        <v>4</v>
      </c>
      <c r="H97" s="214" t="s">
        <v>289</v>
      </c>
      <c r="I97" s="215" t="str">
        <f>B95</f>
        <v>By</v>
      </c>
      <c r="J97" s="14">
        <f>VLOOKUP(I97,I87:M95,2)</f>
        <v>117.03119999999998</v>
      </c>
      <c r="K97" s="14"/>
      <c r="L97" s="14">
        <f>VLOOKUP(I97,I87:M95,4)</f>
        <v>1919.31168</v>
      </c>
      <c r="M97" s="14">
        <f>VLOOKUP(I97,I87:M95,5)</f>
        <v>245.76552000000001</v>
      </c>
      <c r="N97" s="228" t="s">
        <v>369</v>
      </c>
    </row>
    <row r="98" spans="1:14" s="4" customFormat="1" x14ac:dyDescent="0.25">
      <c r="A98" s="85" t="s">
        <v>243</v>
      </c>
      <c r="B98" s="122"/>
      <c r="C98" s="80"/>
      <c r="D98" s="124">
        <f>1-D102-D103</f>
        <v>0.88</v>
      </c>
      <c r="E98" s="4" t="s">
        <v>248</v>
      </c>
    </row>
    <row r="99" spans="1:14" x14ac:dyDescent="0.25">
      <c r="A99" s="96" t="s">
        <v>169</v>
      </c>
      <c r="B99" s="113">
        <f>'2 Fartsregulerende tiltak 2'!D48</f>
        <v>40</v>
      </c>
      <c r="C99" s="80" t="s">
        <v>61</v>
      </c>
      <c r="D99" s="118">
        <f>B99/100</f>
        <v>0.4</v>
      </c>
      <c r="E99" s="228" t="s">
        <v>249</v>
      </c>
    </row>
    <row r="100" spans="1:14" x14ac:dyDescent="0.25">
      <c r="A100" s="85" t="s">
        <v>244</v>
      </c>
      <c r="B100" s="122"/>
      <c r="C100" s="80"/>
      <c r="D100" s="123">
        <f>D98*(1-D99)</f>
        <v>0.52800000000000002</v>
      </c>
      <c r="E100" s="4" t="s">
        <v>248</v>
      </c>
    </row>
    <row r="101" spans="1:14" x14ac:dyDescent="0.25">
      <c r="A101" s="85" t="s">
        <v>245</v>
      </c>
      <c r="B101" s="122"/>
      <c r="C101" s="80"/>
      <c r="D101" s="123">
        <f>D98*D99</f>
        <v>0.35200000000000004</v>
      </c>
      <c r="E101" s="4" t="s">
        <v>248</v>
      </c>
    </row>
    <row r="102" spans="1:14" x14ac:dyDescent="0.25">
      <c r="A102" s="96" t="s">
        <v>79</v>
      </c>
      <c r="B102" s="113">
        <f>'2 Fartsregulerende tiltak 2'!D49</f>
        <v>10</v>
      </c>
      <c r="C102" s="80" t="s">
        <v>61</v>
      </c>
      <c r="D102" s="118">
        <f t="shared" ref="D102:D110" si="37">B102/100</f>
        <v>0.1</v>
      </c>
      <c r="E102" s="4" t="s">
        <v>248</v>
      </c>
      <c r="F102" s="228" t="s">
        <v>250</v>
      </c>
    </row>
    <row r="103" spans="1:14" x14ac:dyDescent="0.25">
      <c r="A103" s="96" t="s">
        <v>94</v>
      </c>
      <c r="B103" s="113">
        <f>'2 Fartsregulerende tiltak 2'!D50</f>
        <v>2</v>
      </c>
      <c r="C103" s="80" t="s">
        <v>61</v>
      </c>
      <c r="D103" s="118">
        <f t="shared" si="37"/>
        <v>0.02</v>
      </c>
      <c r="E103" s="4" t="s">
        <v>248</v>
      </c>
    </row>
    <row r="104" spans="1:14" x14ac:dyDescent="0.25">
      <c r="A104" s="96" t="s">
        <v>239</v>
      </c>
      <c r="B104" s="113">
        <f>'2 Fartsregulerende tiltak 2'!D51</f>
        <v>40</v>
      </c>
      <c r="C104" s="80" t="s">
        <v>61</v>
      </c>
      <c r="D104" s="118">
        <f t="shared" si="37"/>
        <v>0.4</v>
      </c>
      <c r="E104" s="228" t="s">
        <v>247</v>
      </c>
    </row>
    <row r="105" spans="1:14" x14ac:dyDescent="0.25">
      <c r="A105" s="85" t="s">
        <v>246</v>
      </c>
      <c r="B105" s="122"/>
      <c r="C105" s="80"/>
      <c r="D105" s="123">
        <f>D103*(1-D104)</f>
        <v>1.2E-2</v>
      </c>
      <c r="E105" s="4" t="s">
        <v>248</v>
      </c>
    </row>
    <row r="106" spans="1:14" x14ac:dyDescent="0.25">
      <c r="A106" s="85" t="s">
        <v>239</v>
      </c>
      <c r="B106" s="122"/>
      <c r="C106" s="80"/>
      <c r="D106" s="123">
        <f>D103*D104</f>
        <v>8.0000000000000002E-3</v>
      </c>
      <c r="E106" s="4" t="s">
        <v>248</v>
      </c>
    </row>
    <row r="107" spans="1:14" x14ac:dyDescent="0.25">
      <c r="A107" s="96" t="s">
        <v>46</v>
      </c>
      <c r="B107" s="113">
        <f>'2 Fartsregulerende tiltak 2'!D52</f>
        <v>3</v>
      </c>
      <c r="C107" s="80" t="s">
        <v>61</v>
      </c>
      <c r="D107" s="118">
        <f t="shared" si="37"/>
        <v>0.03</v>
      </c>
    </row>
    <row r="108" spans="1:14" x14ac:dyDescent="0.25">
      <c r="A108" s="96" t="s">
        <v>109</v>
      </c>
      <c r="B108" s="112">
        <f>'2 Fartsregulerende tiltak 2'!D53</f>
        <v>20</v>
      </c>
      <c r="C108" s="80" t="s">
        <v>61</v>
      </c>
      <c r="D108" s="119">
        <f t="shared" si="37"/>
        <v>0.2</v>
      </c>
    </row>
    <row r="109" spans="1:14" x14ac:dyDescent="0.25">
      <c r="A109" s="96" t="s">
        <v>111</v>
      </c>
      <c r="B109" s="113">
        <f>'2 Fartsregulerende tiltak 2'!D54</f>
        <v>0</v>
      </c>
      <c r="C109" s="80" t="s">
        <v>61</v>
      </c>
      <c r="D109" s="118">
        <f t="shared" si="37"/>
        <v>0</v>
      </c>
    </row>
    <row r="110" spans="1:14" x14ac:dyDescent="0.25">
      <c r="A110" s="96" t="s">
        <v>110</v>
      </c>
      <c r="B110" s="113">
        <f>'2 Fartsregulerende tiltak 2'!D55</f>
        <v>0</v>
      </c>
      <c r="C110" s="80" t="s">
        <v>61</v>
      </c>
      <c r="D110" s="118">
        <f t="shared" si="37"/>
        <v>0</v>
      </c>
    </row>
    <row r="111" spans="1:14" x14ac:dyDescent="0.25">
      <c r="A111" s="95" t="s">
        <v>192</v>
      </c>
      <c r="B111" s="97" t="s">
        <v>178</v>
      </c>
      <c r="C111" s="97" t="s">
        <v>179</v>
      </c>
      <c r="D111" s="87"/>
      <c r="E111" s="97" t="s">
        <v>178</v>
      </c>
      <c r="F111" s="97" t="s">
        <v>179</v>
      </c>
    </row>
    <row r="112" spans="1:14" x14ac:dyDescent="0.25">
      <c r="A112" s="96" t="s">
        <v>180</v>
      </c>
      <c r="B112" s="111">
        <f>'2 Fartsregulerende tiltak 2'!D69</f>
        <v>30</v>
      </c>
      <c r="C112" s="111">
        <f>'2 Fartsregulerende tiltak 2'!E69</f>
        <v>27</v>
      </c>
      <c r="D112" s="80" t="s">
        <v>61</v>
      </c>
      <c r="E112" s="116">
        <f t="shared" ref="E112:F123" si="38">B112/100</f>
        <v>0.3</v>
      </c>
      <c r="F112" s="116">
        <f t="shared" si="38"/>
        <v>0.27</v>
      </c>
    </row>
    <row r="113" spans="1:6" x14ac:dyDescent="0.25">
      <c r="A113" s="96" t="s">
        <v>181</v>
      </c>
      <c r="B113" s="111">
        <f>'2 Fartsregulerende tiltak 2'!D70</f>
        <v>60</v>
      </c>
      <c r="C113" s="111">
        <f>'2 Fartsregulerende tiltak 2'!E70</f>
        <v>60</v>
      </c>
      <c r="D113" s="80" t="s">
        <v>61</v>
      </c>
      <c r="E113" s="116">
        <f t="shared" si="38"/>
        <v>0.6</v>
      </c>
      <c r="F113" s="116">
        <f t="shared" si="38"/>
        <v>0.6</v>
      </c>
    </row>
    <row r="114" spans="1:6" x14ac:dyDescent="0.25">
      <c r="A114" s="96" t="s">
        <v>182</v>
      </c>
      <c r="B114" s="99">
        <f>'2 Fartsregulerende tiltak 2'!D71</f>
        <v>10</v>
      </c>
      <c r="C114" s="99">
        <f>'2 Fartsregulerende tiltak 2'!E71</f>
        <v>13</v>
      </c>
      <c r="D114" s="80" t="s">
        <v>61</v>
      </c>
      <c r="E114" s="98">
        <f t="shared" si="38"/>
        <v>0.1</v>
      </c>
      <c r="F114" s="98">
        <f t="shared" si="38"/>
        <v>0.13</v>
      </c>
    </row>
    <row r="115" spans="1:6" x14ac:dyDescent="0.25">
      <c r="A115" s="96" t="s">
        <v>189</v>
      </c>
      <c r="B115" s="112">
        <f>'2 Fartsregulerende tiltak 2'!D72</f>
        <v>85</v>
      </c>
      <c r="C115" s="111">
        <f>'2 Fartsregulerende tiltak 2'!E72</f>
        <v>85</v>
      </c>
      <c r="D115" s="80" t="s">
        <v>115</v>
      </c>
      <c r="E115" s="116">
        <f t="shared" si="38"/>
        <v>0.85</v>
      </c>
      <c r="F115" s="116">
        <f t="shared" si="38"/>
        <v>0.85</v>
      </c>
    </row>
    <row r="116" spans="1:6" x14ac:dyDescent="0.25">
      <c r="A116" s="96" t="s">
        <v>183</v>
      </c>
      <c r="B116" s="86">
        <f>'2 Fartsregulerende tiltak 2'!D73</f>
        <v>0</v>
      </c>
      <c r="C116" s="86">
        <f>'2 Fartsregulerende tiltak 2'!E73</f>
        <v>0</v>
      </c>
      <c r="D116" s="80" t="s">
        <v>61</v>
      </c>
      <c r="E116" s="117">
        <f t="shared" si="38"/>
        <v>0</v>
      </c>
      <c r="F116" s="117">
        <f t="shared" si="38"/>
        <v>0</v>
      </c>
    </row>
    <row r="117" spans="1:6" x14ac:dyDescent="0.25">
      <c r="A117" s="96" t="s">
        <v>184</v>
      </c>
      <c r="B117" s="86">
        <f>'2 Fartsregulerende tiltak 2'!D74</f>
        <v>0</v>
      </c>
      <c r="C117" s="86">
        <f>'2 Fartsregulerende tiltak 2'!E74</f>
        <v>0</v>
      </c>
      <c r="D117" s="80" t="s">
        <v>61</v>
      </c>
      <c r="E117" s="117">
        <f t="shared" si="38"/>
        <v>0</v>
      </c>
      <c r="F117" s="117">
        <f t="shared" si="38"/>
        <v>0</v>
      </c>
    </row>
    <row r="118" spans="1:6" x14ac:dyDescent="0.25">
      <c r="A118" s="96" t="s">
        <v>185</v>
      </c>
      <c r="B118" s="99">
        <f>'2 Fartsregulerende tiltak 2'!D75</f>
        <v>100</v>
      </c>
      <c r="C118" s="99">
        <f>'2 Fartsregulerende tiltak 2'!E75</f>
        <v>100</v>
      </c>
      <c r="D118" s="80" t="s">
        <v>61</v>
      </c>
      <c r="E118" s="98">
        <f t="shared" si="38"/>
        <v>1</v>
      </c>
      <c r="F118" s="98">
        <f t="shared" si="38"/>
        <v>1</v>
      </c>
    </row>
    <row r="119" spans="1:6" x14ac:dyDescent="0.25">
      <c r="A119" s="96" t="s">
        <v>190</v>
      </c>
      <c r="B119" s="113">
        <f>'2 Fartsregulerende tiltak 2'!D76</f>
        <v>0</v>
      </c>
      <c r="C119" s="86">
        <f>'2 Fartsregulerende tiltak 2'!E76</f>
        <v>0</v>
      </c>
      <c r="D119" s="80" t="s">
        <v>115</v>
      </c>
      <c r="E119" s="117">
        <f t="shared" si="38"/>
        <v>0</v>
      </c>
      <c r="F119" s="117">
        <f t="shared" si="38"/>
        <v>0</v>
      </c>
    </row>
    <row r="120" spans="1:6" x14ac:dyDescent="0.25">
      <c r="A120" s="96" t="s">
        <v>186</v>
      </c>
      <c r="B120" s="86">
        <f>'2 Fartsregulerende tiltak 2'!D77</f>
        <v>0</v>
      </c>
      <c r="C120" s="86">
        <f>'2 Fartsregulerende tiltak 2'!E77</f>
        <v>0</v>
      </c>
      <c r="D120" s="80" t="s">
        <v>61</v>
      </c>
      <c r="E120" s="117">
        <f t="shared" si="38"/>
        <v>0</v>
      </c>
      <c r="F120" s="117">
        <f t="shared" si="38"/>
        <v>0</v>
      </c>
    </row>
    <row r="121" spans="1:6" x14ac:dyDescent="0.25">
      <c r="A121" s="96" t="s">
        <v>187</v>
      </c>
      <c r="B121" s="86">
        <f>'2 Fartsregulerende tiltak 2'!D78</f>
        <v>0</v>
      </c>
      <c r="C121" s="86">
        <f>'2 Fartsregulerende tiltak 2'!E78</f>
        <v>0</v>
      </c>
      <c r="D121" s="80" t="s">
        <v>61</v>
      </c>
      <c r="E121" s="117">
        <f t="shared" si="38"/>
        <v>0</v>
      </c>
      <c r="F121" s="117">
        <f t="shared" si="38"/>
        <v>0</v>
      </c>
    </row>
    <row r="122" spans="1:6" x14ac:dyDescent="0.25">
      <c r="A122" s="96" t="s">
        <v>188</v>
      </c>
      <c r="B122" s="99">
        <f>'2 Fartsregulerende tiltak 2'!D79</f>
        <v>100</v>
      </c>
      <c r="C122" s="99">
        <f>'2 Fartsregulerende tiltak 2'!E79</f>
        <v>100</v>
      </c>
      <c r="D122" s="80" t="s">
        <v>61</v>
      </c>
      <c r="E122" s="98">
        <f t="shared" si="38"/>
        <v>1</v>
      </c>
      <c r="F122" s="98">
        <f t="shared" si="38"/>
        <v>1</v>
      </c>
    </row>
    <row r="123" spans="1:6" x14ac:dyDescent="0.25">
      <c r="A123" s="96" t="s">
        <v>191</v>
      </c>
      <c r="B123" s="113">
        <f>'2 Fartsregulerende tiltak 2'!D80</f>
        <v>0</v>
      </c>
      <c r="C123" s="86">
        <f>'2 Fartsregulerende tiltak 2'!E80</f>
        <v>0</v>
      </c>
      <c r="D123" s="80" t="s">
        <v>115</v>
      </c>
      <c r="E123" s="117">
        <f t="shared" si="38"/>
        <v>0</v>
      </c>
      <c r="F123" s="117">
        <f t="shared" si="38"/>
        <v>0</v>
      </c>
    </row>
  </sheetData>
  <autoFilter ref="A4:Q39">
    <filterColumn colId="2">
      <colorFilter dxfId="0"/>
    </filterColumn>
  </autoFilter>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tabColor theme="3" tint="0.39997558519241921"/>
    <pageSetUpPr fitToPage="1"/>
  </sheetPr>
  <dimension ref="A1:I64"/>
  <sheetViews>
    <sheetView showGridLines="0" workbookViewId="0">
      <selection activeCell="B34" sqref="B34"/>
    </sheetView>
  </sheetViews>
  <sheetFormatPr baseColWidth="10" defaultColWidth="0" defaultRowHeight="15" zeroHeight="1" x14ac:dyDescent="0.25"/>
  <cols>
    <col min="1" max="1" width="5.28515625" style="75" customWidth="1"/>
    <col min="2" max="2" width="54.7109375" bestFit="1" customWidth="1"/>
    <col min="3" max="3" width="24.5703125" customWidth="1"/>
    <col min="4" max="4" width="33.85546875" style="366" bestFit="1" customWidth="1"/>
    <col min="5" max="9" width="0" hidden="1" customWidth="1"/>
    <col min="10" max="16384" width="11.42578125" hidden="1"/>
  </cols>
  <sheetData>
    <row r="1" spans="1:4" s="297" customFormat="1" ht="18.75" x14ac:dyDescent="0.25">
      <c r="A1" s="144" t="s">
        <v>828</v>
      </c>
      <c r="D1" s="366"/>
    </row>
    <row r="2" spans="1:4" x14ac:dyDescent="0.25">
      <c r="A2" s="358" t="s">
        <v>997</v>
      </c>
      <c r="B2" s="8" t="s">
        <v>1</v>
      </c>
      <c r="C2" s="8" t="s">
        <v>30</v>
      </c>
      <c r="D2" s="8"/>
    </row>
    <row r="3" spans="1:4" s="485" customFormat="1" ht="15" customHeight="1" x14ac:dyDescent="0.25">
      <c r="A3" s="483">
        <v>5</v>
      </c>
      <c r="B3" s="484" t="s">
        <v>29</v>
      </c>
    </row>
    <row r="4" spans="1:4" s="319" customFormat="1" x14ac:dyDescent="0.25">
      <c r="A4" s="427">
        <v>5.0999999999999996</v>
      </c>
      <c r="B4" s="428" t="s">
        <v>17</v>
      </c>
      <c r="C4" s="429" t="s">
        <v>971</v>
      </c>
      <c r="D4" s="428"/>
    </row>
    <row r="5" spans="1:4" s="319" customFormat="1" x14ac:dyDescent="0.25">
      <c r="A5" s="427">
        <v>5.2</v>
      </c>
      <c r="B5" s="428" t="s">
        <v>18</v>
      </c>
      <c r="C5" s="429" t="s">
        <v>973</v>
      </c>
      <c r="D5" s="429" t="s">
        <v>665</v>
      </c>
    </row>
    <row r="6" spans="1:4" x14ac:dyDescent="0.25">
      <c r="A6" s="76">
        <v>5.3</v>
      </c>
      <c r="B6" s="4" t="s">
        <v>149</v>
      </c>
      <c r="C6" s="4" t="s">
        <v>162</v>
      </c>
      <c r="D6" s="4"/>
    </row>
    <row r="7" spans="1:4" s="319" customFormat="1" x14ac:dyDescent="0.25">
      <c r="A7" s="427">
        <v>5.4</v>
      </c>
      <c r="B7" s="428" t="s">
        <v>150</v>
      </c>
      <c r="C7" s="429" t="s">
        <v>971</v>
      </c>
      <c r="D7" s="428"/>
    </row>
    <row r="8" spans="1:4" s="319" customFormat="1" x14ac:dyDescent="0.25">
      <c r="A8" s="427">
        <v>5.5</v>
      </c>
      <c r="B8" s="428" t="s">
        <v>146</v>
      </c>
      <c r="C8" s="429" t="s">
        <v>973</v>
      </c>
      <c r="D8" s="429" t="s">
        <v>665</v>
      </c>
    </row>
    <row r="9" spans="1:4" s="319" customFormat="1" x14ac:dyDescent="0.25">
      <c r="A9" s="427"/>
      <c r="B9" s="428" t="s">
        <v>41</v>
      </c>
      <c r="C9" s="429" t="s">
        <v>973</v>
      </c>
      <c r="D9" s="429" t="s">
        <v>665</v>
      </c>
    </row>
    <row r="10" spans="1:4" s="319" customFormat="1" x14ac:dyDescent="0.25">
      <c r="A10" s="427"/>
      <c r="B10" s="428" t="s">
        <v>42</v>
      </c>
      <c r="C10" s="429" t="s">
        <v>973</v>
      </c>
      <c r="D10" s="429" t="s">
        <v>665</v>
      </c>
    </row>
    <row r="11" spans="1:4" s="319" customFormat="1" x14ac:dyDescent="0.25">
      <c r="A11" s="427"/>
      <c r="B11" s="428" t="s">
        <v>28</v>
      </c>
      <c r="C11" s="429" t="s">
        <v>973</v>
      </c>
      <c r="D11" s="429" t="s">
        <v>665</v>
      </c>
    </row>
    <row r="12" spans="1:4" s="319" customFormat="1" x14ac:dyDescent="0.25">
      <c r="A12" s="427">
        <v>5.6</v>
      </c>
      <c r="B12" s="428" t="s">
        <v>147</v>
      </c>
      <c r="C12" s="429" t="s">
        <v>973</v>
      </c>
      <c r="D12" s="429" t="s">
        <v>665</v>
      </c>
    </row>
    <row r="13" spans="1:4" s="319" customFormat="1" x14ac:dyDescent="0.25">
      <c r="A13" s="427">
        <v>5.6999999999999993</v>
      </c>
      <c r="B13" s="428" t="s">
        <v>19</v>
      </c>
      <c r="C13" s="429" t="s">
        <v>973</v>
      </c>
      <c r="D13" s="429" t="s">
        <v>665</v>
      </c>
    </row>
    <row r="14" spans="1:4" s="319" customFormat="1" x14ac:dyDescent="0.25">
      <c r="A14" s="427">
        <v>5.7999999999999989</v>
      </c>
      <c r="B14" s="428" t="s">
        <v>20</v>
      </c>
      <c r="C14" s="429" t="s">
        <v>525</v>
      </c>
      <c r="D14" s="428"/>
    </row>
    <row r="15" spans="1:4" x14ac:dyDescent="0.25">
      <c r="A15" s="76">
        <v>5.8999999999999986</v>
      </c>
      <c r="B15" s="4" t="s">
        <v>148</v>
      </c>
      <c r="C15" s="4" t="s">
        <v>162</v>
      </c>
      <c r="D15" s="4"/>
    </row>
    <row r="16" spans="1:4" x14ac:dyDescent="0.25">
      <c r="A16" s="373">
        <v>5.0999999999999996</v>
      </c>
      <c r="B16" s="4" t="s">
        <v>151</v>
      </c>
      <c r="C16" s="4" t="s">
        <v>162</v>
      </c>
      <c r="D16" s="4"/>
    </row>
    <row r="17" spans="1:4" x14ac:dyDescent="0.25">
      <c r="A17" s="373">
        <v>5.1099999999999994</v>
      </c>
      <c r="B17" s="4" t="s">
        <v>152</v>
      </c>
      <c r="C17" s="4" t="s">
        <v>162</v>
      </c>
      <c r="D17" s="4"/>
    </row>
    <row r="18" spans="1:4" s="319" customFormat="1" x14ac:dyDescent="0.25">
      <c r="A18" s="427">
        <v>5.1199999999999992</v>
      </c>
      <c r="B18" s="428" t="s">
        <v>21</v>
      </c>
      <c r="C18" s="429" t="s">
        <v>663</v>
      </c>
      <c r="D18" s="428"/>
    </row>
    <row r="19" spans="1:4" x14ac:dyDescent="0.25">
      <c r="A19" s="76">
        <v>5.129999999999999</v>
      </c>
      <c r="B19" s="4" t="s">
        <v>153</v>
      </c>
      <c r="C19" s="4" t="s">
        <v>162</v>
      </c>
      <c r="D19" s="4"/>
    </row>
    <row r="20" spans="1:4" x14ac:dyDescent="0.25">
      <c r="A20" s="76">
        <v>5.1399999999999988</v>
      </c>
      <c r="B20" s="4" t="s">
        <v>154</v>
      </c>
      <c r="C20" s="4" t="s">
        <v>162</v>
      </c>
      <c r="D20" s="4"/>
    </row>
    <row r="21" spans="1:4" x14ac:dyDescent="0.25">
      <c r="A21" s="76">
        <v>5.1499999999999986</v>
      </c>
      <c r="B21" s="4" t="s">
        <v>155</v>
      </c>
      <c r="C21" s="4" t="s">
        <v>162</v>
      </c>
      <c r="D21" s="4"/>
    </row>
    <row r="22" spans="1:4" s="485" customFormat="1" x14ac:dyDescent="0.25">
      <c r="A22" s="483">
        <v>6</v>
      </c>
      <c r="B22" s="484" t="s">
        <v>22</v>
      </c>
    </row>
    <row r="23" spans="1:4" x14ac:dyDescent="0.25">
      <c r="A23" s="76">
        <v>6.1</v>
      </c>
      <c r="B23" s="4" t="s">
        <v>156</v>
      </c>
      <c r="C23" s="4" t="s">
        <v>162</v>
      </c>
      <c r="D23" s="4"/>
    </row>
    <row r="24" spans="1:4" s="319" customFormat="1" x14ac:dyDescent="0.25">
      <c r="A24" s="427">
        <v>6.2</v>
      </c>
      <c r="B24" s="428" t="s">
        <v>329</v>
      </c>
      <c r="C24" s="429" t="s">
        <v>526</v>
      </c>
      <c r="D24" s="428"/>
    </row>
    <row r="25" spans="1:4" s="319" customFormat="1" x14ac:dyDescent="0.25">
      <c r="A25" s="427">
        <v>6.3</v>
      </c>
      <c r="B25" s="428" t="s">
        <v>23</v>
      </c>
      <c r="C25" s="429" t="s">
        <v>973</v>
      </c>
      <c r="D25" s="429" t="s">
        <v>665</v>
      </c>
    </row>
    <row r="26" spans="1:4" s="319" customFormat="1" x14ac:dyDescent="0.25">
      <c r="A26" s="427"/>
      <c r="B26" s="486" t="s">
        <v>975</v>
      </c>
      <c r="C26" s="429" t="s">
        <v>974</v>
      </c>
      <c r="D26" s="429"/>
    </row>
    <row r="27" spans="1:4" x14ac:dyDescent="0.25">
      <c r="A27" s="76">
        <v>6.3999999999999995</v>
      </c>
      <c r="B27" s="4" t="s">
        <v>157</v>
      </c>
      <c r="C27" s="4" t="s">
        <v>162</v>
      </c>
      <c r="D27" s="4"/>
    </row>
    <row r="28" spans="1:4" x14ac:dyDescent="0.25">
      <c r="A28" s="76">
        <v>6.5</v>
      </c>
      <c r="B28" s="4" t="s">
        <v>158</v>
      </c>
      <c r="C28" s="4" t="s">
        <v>162</v>
      </c>
      <c r="D28" s="4"/>
    </row>
    <row r="29" spans="1:4" s="319" customFormat="1" x14ac:dyDescent="0.25">
      <c r="A29" s="427">
        <v>6.6</v>
      </c>
      <c r="B29" s="428" t="s">
        <v>24</v>
      </c>
      <c r="C29" s="429" t="s">
        <v>974</v>
      </c>
      <c r="D29" s="428"/>
    </row>
    <row r="30" spans="1:4" s="485" customFormat="1" x14ac:dyDescent="0.25">
      <c r="A30" s="483">
        <v>7</v>
      </c>
      <c r="B30" s="484" t="s">
        <v>25</v>
      </c>
    </row>
    <row r="31" spans="1:4" s="319" customFormat="1" x14ac:dyDescent="0.25">
      <c r="A31" s="427">
        <v>7.1</v>
      </c>
      <c r="B31" s="428" t="s">
        <v>26</v>
      </c>
      <c r="C31" s="429" t="s">
        <v>973</v>
      </c>
      <c r="D31" s="429" t="s">
        <v>665</v>
      </c>
    </row>
    <row r="32" spans="1:4" s="319" customFormat="1" x14ac:dyDescent="0.25">
      <c r="A32" s="427">
        <v>7.1</v>
      </c>
      <c r="B32" s="428" t="s">
        <v>27</v>
      </c>
      <c r="C32" s="429" t="s">
        <v>973</v>
      </c>
      <c r="D32" s="429" t="s">
        <v>665</v>
      </c>
    </row>
    <row r="33" spans="1:4" x14ac:dyDescent="0.25">
      <c r="A33" s="76">
        <v>7.2</v>
      </c>
      <c r="B33" s="4" t="s">
        <v>159</v>
      </c>
      <c r="C33" s="4" t="s">
        <v>162</v>
      </c>
      <c r="D33" s="4"/>
    </row>
    <row r="34" spans="1:4" x14ac:dyDescent="0.25">
      <c r="A34" s="76">
        <v>7.3</v>
      </c>
      <c r="B34" s="4" t="s">
        <v>160</v>
      </c>
      <c r="C34" s="4" t="s">
        <v>162</v>
      </c>
      <c r="D34" s="4"/>
    </row>
    <row r="35" spans="1:4" s="7" customFormat="1" x14ac:dyDescent="0.25">
      <c r="A35" s="374">
        <v>7.3999999999999995</v>
      </c>
      <c r="B35" s="134" t="s">
        <v>161</v>
      </c>
      <c r="C35" s="134" t="s">
        <v>162</v>
      </c>
      <c r="D35" s="134"/>
    </row>
    <row r="36" spans="1:4" x14ac:dyDescent="0.25"/>
    <row r="37" spans="1:4" ht="18.75" x14ac:dyDescent="0.25">
      <c r="A37" s="144" t="s">
        <v>1018</v>
      </c>
    </row>
    <row r="38" spans="1:4" x14ac:dyDescent="0.25"/>
    <row r="39" spans="1:4" x14ac:dyDescent="0.25"/>
    <row r="40" spans="1:4" x14ac:dyDescent="0.25"/>
    <row r="41" spans="1:4" x14ac:dyDescent="0.25"/>
    <row r="42" spans="1:4" x14ac:dyDescent="0.25"/>
    <row r="43" spans="1:4" x14ac:dyDescent="0.25"/>
    <row r="44" spans="1:4" x14ac:dyDescent="0.25"/>
    <row r="45" spans="1:4" x14ac:dyDescent="0.25"/>
    <row r="46" spans="1:4" x14ac:dyDescent="0.25"/>
    <row r="47" spans="1:4" x14ac:dyDescent="0.25"/>
    <row r="48" spans="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sheetData>
  <sheetProtection algorithmName="SHA-512" hashValue="frxsDpYZJO0EIsF57gRNPYG/bYUokXKq6CRrboWiY9xc3ZdcvMR4AKWkQNRYwoam29mI26mi0wkL7g0zcoJgUg==" saltValue="p65O+1PJbba9XLWdYc1WqA==" spinCount="100000" sheet="1" objects="1" scenarios="1"/>
  <autoFilter ref="B2:C35"/>
  <hyperlinks>
    <hyperlink ref="D5" location="'1 Fartsreg. tiltak veiledning'!A1" display="(se også 1 Fartsreg. tiltak veiledning)"/>
    <hyperlink ref="D8" location="'1 Fartsreg. tiltak veiledning'!A1" display="(se også 1 Fartsreg. tiltak veiledning)"/>
    <hyperlink ref="D9" location="'1 Fartsreg. tiltak veiledning'!A1" display="(se også 1 Fartsreg. tiltak veiledning)"/>
    <hyperlink ref="D10" location="'1 Fartsreg. tiltak veiledning'!A1" display="(se også 1 Fartsreg. tiltak veiledning)"/>
    <hyperlink ref="D11" location="'1 Fartsreg. tiltak veiledning'!A1" display="(se også 1 Fartsreg. tiltak veiledning)"/>
    <hyperlink ref="D12" location="'1 Fartsreg. tiltak veiledning'!A1" display="(se også 1 Fartsreg. tiltak veiledning)"/>
    <hyperlink ref="D13" location="'1 Fartsreg. tiltak veiledning'!A1" display="(se også 1 Fartsreg. tiltak veiledning)"/>
    <hyperlink ref="D25" location="'1 Fartsreg. tiltak veiledning'!A1" display="(se også 1 Fartsreg. tiltak veiledning)"/>
    <hyperlink ref="D31" location="'1 Fartsreg. tiltak veiledning'!A1" display="(se også 1 Fartsreg. tiltak veiledning)"/>
    <hyperlink ref="D32" location="'1 Fartsreg. tiltak veiledning'!A1" display="(se også 1 Fartsreg. tiltak veiledning)"/>
    <hyperlink ref="C4" r:id="rId1" location="'3 Køvarsling'!A1"/>
    <hyperlink ref="C5" location="'1 Fartsregulerende tiltak 1'!A1" display="1 Fartsreduserende tiltak 1 "/>
    <hyperlink ref="C8:C13" location="'1 Fartsregulerende tiltak 1'!A1" display="1 Fartsreduserende tiltak 1 "/>
    <hyperlink ref="C25" location="'1 Fartsregulerende tiltak 1'!A1" display="1 Fartsreduserende tiltak 1 "/>
    <hyperlink ref="C31" location="'1 Fartsregulerende tiltak 1'!A1" display="1 Fartsreduserende tiltak 1 "/>
    <hyperlink ref="C32" location="'1 Fartsregulerende tiltak 1'!A1" display="1 Fartsreduserende tiltak 1 "/>
    <hyperlink ref="C29" location="'2 Fartsregulerende tiltak 2'!A1" display="2 Fartsregulerende tiltak 2"/>
    <hyperlink ref="C24" location="'5 Kollektivtrafikkprioritering'!A1" display="5 Kollektivtrafikkprioritering"/>
    <hyperlink ref="C14" location="'4 Gang- og sykkelvarsling'!A1" display="4 Varsel for gang og sykkel ved gangfelt"/>
    <hyperlink ref="C18" location="'6 Sanntidsinformasjon'!A1" display="6 Sanntidsinformasjon om kollektivtrafikk"/>
    <hyperlink ref="C7" r:id="rId2" location="'3 Køvarsling'!A1"/>
    <hyperlink ref="C26" location="'2 Fartsregulerende tiltak 2'!A1" display="2 Fartsregulerende tiltak 2"/>
  </hyperlinks>
  <pageMargins left="0.70866141732283472" right="0.39370078740157483" top="0.78740157480314965" bottom="0.78740157480314965" header="0.31496062992125984" footer="0.31496062992125984"/>
  <pageSetup paperSize="9" fitToHeight="0" orientation="landscape" r:id="rId3"/>
  <headerFooter>
    <oddFooter>&amp;LITS-Virkningsberegninger
TØI-Rapport 1289/2013&amp;C&amp;"-,Fet"&amp;12&amp;A&amp;RSide &amp;P</oddFooter>
  </headerFooter>
  <rowBreaks count="1" manualBreakCount="1">
    <brk id="36"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rgb="FF00B050"/>
    <pageSetUpPr fitToPage="1"/>
  </sheetPr>
  <dimension ref="A1:U367"/>
  <sheetViews>
    <sheetView showGridLines="0" zoomScaleNormal="100" workbookViewId="0">
      <pane ySplit="2" topLeftCell="A21" activePane="bottomLeft" state="frozen"/>
      <selection sqref="A1:E1"/>
      <selection pane="bottomLeft" sqref="A1:E1"/>
    </sheetView>
  </sheetViews>
  <sheetFormatPr baseColWidth="10" defaultColWidth="0" defaultRowHeight="15" zeroHeight="1" x14ac:dyDescent="0.25"/>
  <cols>
    <col min="1" max="1" width="3.85546875" style="147" customWidth="1"/>
    <col min="2" max="2" width="1.28515625" style="147" customWidth="1"/>
    <col min="3" max="3" width="27.140625" style="18" customWidth="1"/>
    <col min="4" max="6" width="11.5703125" style="19" customWidth="1"/>
    <col min="7" max="7" width="5.5703125" style="57" customWidth="1"/>
    <col min="8" max="8" width="97.85546875" style="18" customWidth="1"/>
    <col min="9" max="9" width="1.28515625" style="19" customWidth="1"/>
    <col min="10" max="10" width="11.42578125" style="48" hidden="1" customWidth="1"/>
    <col min="11" max="11" width="12.85546875" style="48" hidden="1" customWidth="1"/>
    <col min="12" max="12" width="11.42578125" style="137" hidden="1" customWidth="1"/>
    <col min="13" max="15" width="11.42578125" style="19" hidden="1" customWidth="1"/>
    <col min="16" max="16" width="11.7109375" style="24" hidden="1" customWidth="1"/>
    <col min="17" max="21" width="11.7109375" style="18" hidden="1" customWidth="1"/>
    <col min="22" max="16384" width="11.42578125" style="18" hidden="1"/>
  </cols>
  <sheetData>
    <row r="1" spans="1:15" ht="20.100000000000001" customHeight="1" x14ac:dyDescent="0.25">
      <c r="A1" s="146" t="s">
        <v>1015</v>
      </c>
      <c r="B1" s="18"/>
      <c r="D1" s="18"/>
      <c r="E1" s="513"/>
      <c r="F1" s="513"/>
      <c r="G1" s="513"/>
      <c r="H1" s="513"/>
      <c r="I1" s="20"/>
      <c r="J1" s="136" t="s">
        <v>57</v>
      </c>
    </row>
    <row r="2" spans="1:15" ht="20.100000000000001" customHeight="1" x14ac:dyDescent="0.25">
      <c r="A2" s="146"/>
      <c r="B2" s="18"/>
      <c r="C2" s="814"/>
      <c r="D2" s="814"/>
      <c r="E2" s="814"/>
      <c r="F2" s="814"/>
      <c r="G2" s="814"/>
      <c r="H2" s="814"/>
      <c r="I2" s="499"/>
      <c r="J2" s="136"/>
    </row>
    <row r="3" spans="1:15" ht="18.75" x14ac:dyDescent="0.25">
      <c r="A3" s="144" t="s">
        <v>118</v>
      </c>
      <c r="B3" s="145"/>
      <c r="D3" s="20"/>
      <c r="E3" s="20"/>
      <c r="F3" s="20"/>
      <c r="G3" s="53"/>
      <c r="H3" s="21"/>
      <c r="I3" s="20"/>
    </row>
    <row r="4" spans="1:15" ht="74.25" customHeight="1" x14ac:dyDescent="0.25">
      <c r="A4" s="24"/>
      <c r="B4" s="146"/>
      <c r="C4" s="815"/>
      <c r="D4" s="815"/>
      <c r="E4" s="815"/>
      <c r="F4" s="815"/>
      <c r="G4" s="816"/>
      <c r="H4" s="815"/>
      <c r="I4" s="20"/>
      <c r="J4" s="136" t="s">
        <v>57</v>
      </c>
    </row>
    <row r="5" spans="1:15" ht="5.0999999999999996" customHeight="1" x14ac:dyDescent="0.25">
      <c r="A5" s="24"/>
      <c r="B5" s="146"/>
      <c r="C5" s="135"/>
      <c r="D5" s="135"/>
      <c r="E5" s="135"/>
      <c r="F5" s="135"/>
      <c r="G5" s="174"/>
      <c r="H5" s="135"/>
      <c r="I5" s="18"/>
      <c r="J5" s="175"/>
      <c r="K5" s="139"/>
      <c r="L5" s="140"/>
      <c r="M5" s="18"/>
      <c r="N5" s="18"/>
      <c r="O5" s="18"/>
    </row>
    <row r="6" spans="1:15" ht="18.75" x14ac:dyDescent="0.25">
      <c r="A6" s="144" t="s">
        <v>96</v>
      </c>
      <c r="B6" s="145"/>
      <c r="C6" s="24"/>
      <c r="D6" s="20"/>
      <c r="E6" s="18"/>
      <c r="F6" s="18"/>
      <c r="G6" s="63"/>
      <c r="H6" s="21"/>
      <c r="I6" s="20"/>
      <c r="J6" s="137"/>
    </row>
    <row r="7" spans="1:15" ht="64.5" customHeight="1" x14ac:dyDescent="0.25">
      <c r="C7" s="813" t="s">
        <v>772</v>
      </c>
      <c r="D7" s="812"/>
      <c r="E7" s="812"/>
      <c r="F7" s="812"/>
      <c r="G7" s="817"/>
      <c r="H7" s="812"/>
      <c r="I7" s="18"/>
      <c r="J7" s="137"/>
    </row>
    <row r="8" spans="1:15" ht="15" customHeight="1" x14ac:dyDescent="0.25">
      <c r="C8" s="24" t="s">
        <v>135</v>
      </c>
      <c r="D8" s="818"/>
      <c r="E8" s="819"/>
      <c r="F8" s="819"/>
      <c r="G8" s="819"/>
      <c r="H8" s="819"/>
      <c r="I8" s="18"/>
      <c r="J8" s="137"/>
    </row>
    <row r="9" spans="1:15" ht="15" customHeight="1" x14ac:dyDescent="0.25">
      <c r="C9" s="24" t="s">
        <v>136</v>
      </c>
      <c r="D9" s="818"/>
      <c r="E9" s="819"/>
      <c r="F9" s="819"/>
      <c r="G9" s="819"/>
      <c r="H9" s="819"/>
      <c r="I9" s="18"/>
      <c r="J9" s="137"/>
    </row>
    <row r="10" spans="1:15" ht="15" customHeight="1" x14ac:dyDescent="0.25">
      <c r="C10" s="24" t="s">
        <v>137</v>
      </c>
      <c r="D10" s="818"/>
      <c r="E10" s="819"/>
      <c r="F10" s="819"/>
      <c r="G10" s="819"/>
      <c r="H10" s="819"/>
      <c r="I10" s="18"/>
      <c r="J10" s="137"/>
    </row>
    <row r="11" spans="1:15" ht="5.0999999999999996" customHeight="1" x14ac:dyDescent="0.25">
      <c r="D11" s="18"/>
      <c r="E11" s="18"/>
      <c r="F11" s="18"/>
      <c r="G11" s="53"/>
      <c r="I11" s="18"/>
    </row>
    <row r="12" spans="1:15" ht="18.75" x14ac:dyDescent="0.25">
      <c r="A12" s="144" t="s">
        <v>324</v>
      </c>
      <c r="D12" s="18"/>
      <c r="E12" s="18"/>
      <c r="F12" s="18"/>
      <c r="G12" s="53"/>
      <c r="H12" s="25"/>
      <c r="I12" s="18"/>
      <c r="J12" s="137"/>
    </row>
    <row r="13" spans="1:15" ht="60" customHeight="1" x14ac:dyDescent="0.25">
      <c r="A13" s="144"/>
      <c r="C13" s="813" t="s">
        <v>366</v>
      </c>
      <c r="D13" s="812"/>
      <c r="E13" s="812"/>
      <c r="F13" s="812"/>
      <c r="G13" s="812"/>
      <c r="H13" s="812"/>
      <c r="I13" s="18"/>
      <c r="J13" s="137"/>
    </row>
    <row r="14" spans="1:15" ht="18.75" x14ac:dyDescent="0.25">
      <c r="A14" s="144"/>
      <c r="B14" s="145"/>
      <c r="D14" s="79" t="s">
        <v>166</v>
      </c>
      <c r="E14" s="79" t="s">
        <v>302</v>
      </c>
      <c r="F14" s="79" t="s">
        <v>199</v>
      </c>
      <c r="G14" s="78" t="s">
        <v>323</v>
      </c>
      <c r="H14" s="25"/>
      <c r="I14" s="18"/>
      <c r="J14" s="137"/>
    </row>
    <row r="15" spans="1:15" ht="15.75" x14ac:dyDescent="0.25">
      <c r="A15" s="149"/>
      <c r="B15" s="145"/>
      <c r="C15" s="375" t="s">
        <v>135</v>
      </c>
      <c r="D15" s="503" t="s">
        <v>167</v>
      </c>
      <c r="E15" s="503" t="s">
        <v>198</v>
      </c>
      <c r="F15" s="503" t="s">
        <v>167</v>
      </c>
      <c r="G15" s="815"/>
      <c r="H15" s="815"/>
      <c r="I15" s="18"/>
      <c r="J15" s="213" t="s">
        <v>167</v>
      </c>
    </row>
    <row r="16" spans="1:15" ht="15.75" x14ac:dyDescent="0.25">
      <c r="A16" s="149"/>
      <c r="B16" s="145"/>
      <c r="C16" s="375" t="s">
        <v>164</v>
      </c>
      <c r="D16" s="503" t="s">
        <v>198</v>
      </c>
      <c r="E16" s="503" t="s">
        <v>198</v>
      </c>
      <c r="F16" s="503" t="s">
        <v>198</v>
      </c>
      <c r="G16" s="815"/>
      <c r="H16" s="815"/>
      <c r="I16" s="18"/>
      <c r="J16" s="213" t="s">
        <v>198</v>
      </c>
    </row>
    <row r="17" spans="1:15" ht="15" customHeight="1" x14ac:dyDescent="0.25">
      <c r="A17" s="149"/>
      <c r="B17" s="145"/>
      <c r="C17" s="375" t="s">
        <v>165</v>
      </c>
      <c r="D17" s="503" t="s">
        <v>198</v>
      </c>
      <c r="E17" s="503" t="s">
        <v>198</v>
      </c>
      <c r="F17" s="503" t="s">
        <v>198</v>
      </c>
      <c r="G17" s="815"/>
      <c r="H17" s="815"/>
      <c r="I17" s="18"/>
      <c r="J17" s="137"/>
    </row>
    <row r="18" spans="1:15" ht="5.0999999999999996" customHeight="1" x14ac:dyDescent="0.25">
      <c r="D18" s="18"/>
      <c r="E18" s="18"/>
      <c r="F18" s="18"/>
      <c r="G18" s="53"/>
      <c r="I18" s="18"/>
    </row>
    <row r="19" spans="1:15" ht="18.75" x14ac:dyDescent="0.25">
      <c r="A19" s="144" t="s">
        <v>134</v>
      </c>
      <c r="C19" s="24"/>
      <c r="D19" s="62"/>
      <c r="E19" s="18"/>
      <c r="F19" s="18"/>
      <c r="G19" s="53"/>
      <c r="H19" s="25"/>
      <c r="I19" s="18"/>
      <c r="J19" s="137"/>
    </row>
    <row r="20" spans="1:15" ht="30" customHeight="1" x14ac:dyDescent="0.25">
      <c r="B20" s="148" t="s">
        <v>132</v>
      </c>
      <c r="C20" s="24"/>
      <c r="D20" s="50" t="s">
        <v>54</v>
      </c>
      <c r="E20" s="50" t="s">
        <v>92</v>
      </c>
      <c r="F20" s="50" t="s">
        <v>93</v>
      </c>
      <c r="G20" s="53"/>
      <c r="H20" s="403" t="s">
        <v>729</v>
      </c>
      <c r="I20" s="18"/>
      <c r="J20" s="137"/>
    </row>
    <row r="21" spans="1:15" ht="15" customHeight="1" x14ac:dyDescent="0.25">
      <c r="C21" s="24" t="s">
        <v>129</v>
      </c>
      <c r="D21" s="514">
        <f>D113</f>
        <v>1.3364957316287756</v>
      </c>
      <c r="E21" s="515">
        <f>E113</f>
        <v>0.25163620107865764</v>
      </c>
      <c r="F21" s="515">
        <f>F113</f>
        <v>2.8417764813384343</v>
      </c>
      <c r="G21" s="53"/>
      <c r="H21" s="18" t="s">
        <v>862</v>
      </c>
      <c r="I21" s="18"/>
      <c r="J21" s="137"/>
    </row>
    <row r="22" spans="1:15" ht="15" customHeight="1" x14ac:dyDescent="0.25">
      <c r="C22" s="24" t="s">
        <v>325</v>
      </c>
      <c r="D22" s="514">
        <f>D126</f>
        <v>0</v>
      </c>
      <c r="E22" s="515">
        <f>E126</f>
        <v>0</v>
      </c>
      <c r="F22" s="515">
        <f>F126</f>
        <v>0</v>
      </c>
      <c r="G22" s="53"/>
      <c r="H22" s="18" t="s">
        <v>862</v>
      </c>
      <c r="I22" s="18"/>
      <c r="J22" s="137"/>
    </row>
    <row r="23" spans="1:15" ht="15" customHeight="1" x14ac:dyDescent="0.25">
      <c r="C23" s="24" t="s">
        <v>130</v>
      </c>
      <c r="D23" s="514">
        <f>D153</f>
        <v>-1.6062866932952518</v>
      </c>
      <c r="E23" s="515">
        <f>E153</f>
        <v>-2.7335054254322766</v>
      </c>
      <c r="F23" s="515">
        <f>F153</f>
        <v>-0.52461215235568803</v>
      </c>
      <c r="G23" s="53"/>
      <c r="H23" s="18" t="s">
        <v>862</v>
      </c>
      <c r="I23" s="18"/>
      <c r="J23" s="137"/>
    </row>
    <row r="24" spans="1:15" ht="3.95" customHeight="1" x14ac:dyDescent="0.25">
      <c r="C24" s="24"/>
      <c r="D24" s="64"/>
      <c r="E24" s="65"/>
      <c r="F24" s="65"/>
      <c r="G24" s="53"/>
      <c r="I24" s="18"/>
      <c r="J24" s="137"/>
    </row>
    <row r="25" spans="1:15" ht="15" customHeight="1" x14ac:dyDescent="0.25">
      <c r="B25" s="145" t="s">
        <v>131</v>
      </c>
      <c r="C25" s="24"/>
      <c r="D25" s="514">
        <f>D158</f>
        <v>1.6299806201419531</v>
      </c>
      <c r="E25" s="65"/>
      <c r="F25" s="65"/>
      <c r="G25" s="53"/>
      <c r="H25" s="18" t="s">
        <v>863</v>
      </c>
      <c r="I25" s="18"/>
      <c r="J25" s="137"/>
    </row>
    <row r="26" spans="1:15" ht="15" customHeight="1" x14ac:dyDescent="0.25">
      <c r="B26" s="147" t="s">
        <v>133</v>
      </c>
      <c r="C26" s="24"/>
      <c r="D26" s="64"/>
      <c r="E26" s="65"/>
      <c r="F26" s="65"/>
      <c r="G26" s="53"/>
      <c r="I26" s="18"/>
      <c r="J26" s="137"/>
    </row>
    <row r="27" spans="1:15" ht="15" customHeight="1" x14ac:dyDescent="0.25">
      <c r="C27" s="24" t="str">
        <f t="shared" ref="C27:F30" si="0">C160</f>
        <v>Nettonytte</v>
      </c>
      <c r="D27" s="514">
        <f t="shared" si="0"/>
        <v>-1.8997715818084293</v>
      </c>
      <c r="E27" s="515">
        <f t="shared" si="0"/>
        <v>-4.1118498444955716</v>
      </c>
      <c r="F27" s="515">
        <f t="shared" si="0"/>
        <v>0.68718370884079327</v>
      </c>
      <c r="G27" s="53"/>
      <c r="H27" s="18" t="s">
        <v>862</v>
      </c>
      <c r="I27" s="18"/>
      <c r="J27" s="137"/>
    </row>
    <row r="28" spans="1:15" ht="15" customHeight="1" x14ac:dyDescent="0.25">
      <c r="C28" s="24" t="str">
        <f t="shared" si="0"/>
        <v>Nettonytte per budsjettkrone</v>
      </c>
      <c r="D28" s="514">
        <f t="shared" si="0"/>
        <v>-1.1655178953250256</v>
      </c>
      <c r="E28" s="515">
        <f t="shared" si="0"/>
        <v>-2.5226372594156827</v>
      </c>
      <c r="F28" s="515">
        <f t="shared" si="0"/>
        <v>0.42159010993698026</v>
      </c>
      <c r="G28" s="53"/>
      <c r="H28" s="18" t="s">
        <v>862</v>
      </c>
      <c r="I28" s="18"/>
      <c r="J28" s="137"/>
    </row>
    <row r="29" spans="1:15" ht="15" customHeight="1" x14ac:dyDescent="0.25">
      <c r="C29" s="24" t="str">
        <f t="shared" si="0"/>
        <v>Nyttekostnadsforhold</v>
      </c>
      <c r="D29" s="514">
        <f t="shared" si="0"/>
        <v>-0.16551789532502567</v>
      </c>
      <c r="E29" s="515">
        <f t="shared" si="0"/>
        <v>-1.522637259415683</v>
      </c>
      <c r="F29" s="515">
        <f t="shared" si="0"/>
        <v>1.4215901099369803</v>
      </c>
      <c r="G29" s="53"/>
      <c r="I29" s="18"/>
      <c r="J29" s="137"/>
    </row>
    <row r="30" spans="1:15" ht="15" customHeight="1" x14ac:dyDescent="0.25">
      <c r="C30" s="24" t="str">
        <f t="shared" si="0"/>
        <v>TS-effekt per mill. kroner</v>
      </c>
      <c r="D30" s="514">
        <f t="shared" si="0"/>
        <v>0.81994578040589328</v>
      </c>
      <c r="E30" s="515">
        <f t="shared" si="0"/>
        <v>0.15437987296851599</v>
      </c>
      <c r="F30" s="515">
        <f t="shared" si="0"/>
        <v>1.7434418828187952</v>
      </c>
      <c r="G30" s="53"/>
      <c r="H30" s="18" t="s">
        <v>862</v>
      </c>
      <c r="I30" s="18"/>
      <c r="J30" s="137"/>
    </row>
    <row r="31" spans="1:15" ht="6" customHeight="1" x14ac:dyDescent="0.25">
      <c r="D31" s="18"/>
      <c r="E31" s="18"/>
      <c r="F31" s="18"/>
      <c r="G31" s="53"/>
      <c r="H31" s="25"/>
      <c r="I31" s="18"/>
      <c r="J31" s="137"/>
    </row>
    <row r="32" spans="1:15" ht="18.75" x14ac:dyDescent="0.3">
      <c r="A32" s="207" t="s">
        <v>0</v>
      </c>
      <c r="C32" s="24"/>
      <c r="D32" s="64"/>
      <c r="E32" s="65"/>
      <c r="F32" s="65"/>
      <c r="G32" s="53"/>
      <c r="H32" s="18" t="s">
        <v>664</v>
      </c>
      <c r="I32" s="18"/>
      <c r="J32" s="139"/>
      <c r="K32" s="139"/>
      <c r="L32" s="140"/>
      <c r="M32" s="18"/>
      <c r="N32" s="18"/>
      <c r="O32" s="18"/>
    </row>
    <row r="33" spans="1:17" ht="15.75" x14ac:dyDescent="0.25">
      <c r="B33" s="145" t="s">
        <v>6</v>
      </c>
      <c r="D33" s="20"/>
      <c r="E33" s="20"/>
      <c r="F33" s="20"/>
      <c r="G33" s="52"/>
      <c r="H33" s="21"/>
      <c r="I33" s="20"/>
    </row>
    <row r="34" spans="1:17" x14ac:dyDescent="0.25">
      <c r="A34" s="150">
        <v>1</v>
      </c>
      <c r="C34" s="24" t="s">
        <v>406</v>
      </c>
      <c r="D34" s="810">
        <v>10</v>
      </c>
      <c r="E34" s="18" t="s">
        <v>773</v>
      </c>
      <c r="F34" s="18"/>
      <c r="G34" s="53">
        <f>A34</f>
        <v>1</v>
      </c>
      <c r="H34" s="18" t="s">
        <v>407</v>
      </c>
      <c r="I34" s="20"/>
      <c r="J34" s="218">
        <v>10</v>
      </c>
    </row>
    <row r="35" spans="1:17" x14ac:dyDescent="0.25">
      <c r="A35" s="150">
        <f>MAXA(A$34:A34)+1</f>
        <v>2</v>
      </c>
      <c r="C35" s="24" t="s">
        <v>8</v>
      </c>
      <c r="D35" s="516">
        <f>'Data-beregninger'!B6</f>
        <v>4</v>
      </c>
      <c r="E35" s="18" t="s">
        <v>61</v>
      </c>
      <c r="F35" s="18"/>
      <c r="G35" s="53">
        <f>A35</f>
        <v>2</v>
      </c>
      <c r="H35" s="18" t="s">
        <v>831</v>
      </c>
      <c r="I35" s="20"/>
      <c r="J35" s="48" t="s">
        <v>383</v>
      </c>
    </row>
    <row r="36" spans="1:17" x14ac:dyDescent="0.25">
      <c r="A36" s="150">
        <f>MAXA(A$34:A35)+1</f>
        <v>3</v>
      </c>
      <c r="C36" s="24" t="s">
        <v>55</v>
      </c>
      <c r="D36" s="517">
        <f>'Data-beregninger'!B7</f>
        <v>20</v>
      </c>
      <c r="E36" s="18" t="s">
        <v>61</v>
      </c>
      <c r="F36" s="18"/>
      <c r="G36" s="53">
        <f>A36</f>
        <v>3</v>
      </c>
      <c r="H36" s="18" t="s">
        <v>832</v>
      </c>
      <c r="I36" s="20"/>
    </row>
    <row r="37" spans="1:17" x14ac:dyDescent="0.25">
      <c r="A37" s="150">
        <f>MAXA(A$34:A36)+1</f>
        <v>4</v>
      </c>
      <c r="C37" s="24" t="s">
        <v>58</v>
      </c>
      <c r="D37" s="518">
        <f>IF(D34&lt;=1,D34,(1/(D35/100))*(1-1/((100+D35)/100)^D34))</f>
        <v>8.1108957793550367</v>
      </c>
      <c r="E37" s="18"/>
      <c r="F37" s="18"/>
      <c r="G37" s="53">
        <f>A37</f>
        <v>4</v>
      </c>
      <c r="H37" s="18" t="s">
        <v>116</v>
      </c>
      <c r="I37" s="20"/>
      <c r="J37" s="48" t="s">
        <v>48</v>
      </c>
      <c r="K37" s="48">
        <f>IF(D34&lt;=1,D34,VLOOKUP(D34,K330:L354,2))</f>
        <v>9.4861195663521585</v>
      </c>
    </row>
    <row r="38" spans="1:17" x14ac:dyDescent="0.25">
      <c r="A38" s="150">
        <v>5</v>
      </c>
      <c r="C38" s="502" t="s">
        <v>998</v>
      </c>
      <c r="D38" s="601">
        <f>'Data-beregninger'!$C$3</f>
        <v>2014</v>
      </c>
      <c r="E38" s="18"/>
      <c r="F38" s="18"/>
      <c r="G38" s="53">
        <f>A38</f>
        <v>5</v>
      </c>
      <c r="H38" s="18" t="s">
        <v>1000</v>
      </c>
      <c r="I38" s="497"/>
    </row>
    <row r="39" spans="1:17" ht="15.75" x14ac:dyDescent="0.25">
      <c r="A39" s="151"/>
      <c r="B39" s="145" t="s">
        <v>177</v>
      </c>
      <c r="C39" s="24"/>
      <c r="D39" s="94" t="s">
        <v>327</v>
      </c>
      <c r="E39" s="78" t="s">
        <v>328</v>
      </c>
      <c r="F39" s="78" t="s">
        <v>173</v>
      </c>
      <c r="G39" s="305" t="str">
        <f>CONCATENATE(A40,"-",A42)</f>
        <v>6-8</v>
      </c>
      <c r="H39" s="813" t="s">
        <v>355</v>
      </c>
      <c r="I39" s="18"/>
    </row>
    <row r="40" spans="1:17" ht="15" customHeight="1" x14ac:dyDescent="0.25">
      <c r="A40" s="150">
        <f>MAXA(A$34:A39)+1</f>
        <v>6</v>
      </c>
      <c r="B40" s="145"/>
      <c r="C40" s="24" t="s">
        <v>176</v>
      </c>
      <c r="D40" s="504">
        <v>2</v>
      </c>
      <c r="E40" s="505">
        <v>1</v>
      </c>
      <c r="F40" s="505"/>
      <c r="G40" s="54"/>
      <c r="H40" s="812"/>
      <c r="I40" s="20"/>
      <c r="P40" s="27"/>
      <c r="Q40" s="49"/>
    </row>
    <row r="41" spans="1:17" ht="15.75" x14ac:dyDescent="0.25">
      <c r="A41" s="150">
        <f>MAXA(A$34:A40)+1</f>
        <v>7</v>
      </c>
      <c r="B41" s="145"/>
      <c r="C41" s="24" t="s">
        <v>174</v>
      </c>
      <c r="D41" s="506">
        <v>300000</v>
      </c>
      <c r="E41" s="507">
        <v>150000</v>
      </c>
      <c r="F41" s="507">
        <v>0</v>
      </c>
      <c r="G41" s="53"/>
      <c r="H41" s="812"/>
      <c r="I41" s="20"/>
      <c r="Q41" s="49"/>
    </row>
    <row r="42" spans="1:17" ht="15.75" x14ac:dyDescent="0.25">
      <c r="A42" s="150">
        <f>MAXA(A$34:A41)+1</f>
        <v>8</v>
      </c>
      <c r="B42" s="145"/>
      <c r="C42" s="24" t="s">
        <v>175</v>
      </c>
      <c r="D42" s="507">
        <v>30000</v>
      </c>
      <c r="E42" s="507">
        <v>15000</v>
      </c>
      <c r="F42" s="507">
        <v>0</v>
      </c>
      <c r="G42" s="53"/>
      <c r="H42" s="812"/>
      <c r="I42" s="20"/>
      <c r="Q42" s="49"/>
    </row>
    <row r="43" spans="1:17" ht="15.75" x14ac:dyDescent="0.25">
      <c r="A43" s="151"/>
      <c r="B43" s="145" t="s">
        <v>78</v>
      </c>
      <c r="C43" s="24"/>
      <c r="D43" s="20"/>
      <c r="E43" s="18"/>
      <c r="F43" s="18"/>
      <c r="G43" s="53"/>
      <c r="H43" s="21"/>
      <c r="I43" s="20"/>
    </row>
    <row r="44" spans="1:17" x14ac:dyDescent="0.25">
      <c r="A44" s="150">
        <f>MAXA(A$34:A43)+1</f>
        <v>9</v>
      </c>
      <c r="C44" s="24" t="s">
        <v>16</v>
      </c>
      <c r="D44" s="837" t="s">
        <v>37</v>
      </c>
      <c r="E44" s="838"/>
      <c r="F44" s="838"/>
      <c r="G44" s="53">
        <f t="shared" ref="G44" si="1">A44</f>
        <v>9</v>
      </c>
      <c r="H44" s="18" t="s">
        <v>999</v>
      </c>
      <c r="I44" s="497"/>
    </row>
    <row r="45" spans="1:17" x14ac:dyDescent="0.25">
      <c r="A45" s="150">
        <f>MAXA(A$34:A44)+1</f>
        <v>10</v>
      </c>
      <c r="C45" s="24" t="s">
        <v>265</v>
      </c>
      <c r="D45" s="508"/>
      <c r="E45" s="504"/>
      <c r="F45" s="509" t="s">
        <v>480</v>
      </c>
      <c r="G45" s="53">
        <f t="shared" ref="G45:G50" si="2">A45</f>
        <v>10</v>
      </c>
      <c r="H45" s="18" t="s">
        <v>481</v>
      </c>
      <c r="I45" s="231"/>
      <c r="J45" s="48" t="s">
        <v>480</v>
      </c>
    </row>
    <row r="46" spans="1:17" x14ac:dyDescent="0.25">
      <c r="A46" s="150">
        <f>MAXA(A$34:A45)+1</f>
        <v>11</v>
      </c>
      <c r="C46" s="24" t="s">
        <v>2</v>
      </c>
      <c r="D46" s="506">
        <v>1000</v>
      </c>
      <c r="E46" s="18" t="s">
        <v>43</v>
      </c>
      <c r="F46" s="29"/>
      <c r="G46" s="53">
        <f t="shared" si="2"/>
        <v>11</v>
      </c>
      <c r="H46" s="18" t="s">
        <v>670</v>
      </c>
      <c r="I46" s="20"/>
      <c r="J46" s="48" t="s">
        <v>267</v>
      </c>
    </row>
    <row r="47" spans="1:17" x14ac:dyDescent="0.25">
      <c r="A47" s="150">
        <f>MAXA(A$34:A46)+1</f>
        <v>12</v>
      </c>
      <c r="C47" s="24" t="s">
        <v>3</v>
      </c>
      <c r="D47" s="506">
        <v>10000</v>
      </c>
      <c r="E47" s="18" t="s">
        <v>4</v>
      </c>
      <c r="F47" s="29"/>
      <c r="G47" s="53">
        <f t="shared" si="2"/>
        <v>12</v>
      </c>
      <c r="H47" s="18" t="s">
        <v>97</v>
      </c>
      <c r="I47" s="20"/>
    </row>
    <row r="48" spans="1:17" x14ac:dyDescent="0.25">
      <c r="A48" s="150">
        <f>MAXA(A$34:A47)+1</f>
        <v>13</v>
      </c>
      <c r="C48" s="24" t="s">
        <v>79</v>
      </c>
      <c r="D48" s="586">
        <v>5</v>
      </c>
      <c r="E48" s="18" t="s">
        <v>61</v>
      </c>
      <c r="F48" s="29"/>
      <c r="G48" s="53">
        <f t="shared" si="2"/>
        <v>13</v>
      </c>
      <c r="H48" s="18" t="s">
        <v>521</v>
      </c>
      <c r="I48" s="20"/>
    </row>
    <row r="49" spans="1:16" x14ac:dyDescent="0.25">
      <c r="A49" s="150">
        <f>MAXA(A$34:A48)+1</f>
        <v>14</v>
      </c>
      <c r="C49" s="24" t="s">
        <v>94</v>
      </c>
      <c r="D49" s="586">
        <v>1</v>
      </c>
      <c r="E49" s="18" t="s">
        <v>61</v>
      </c>
      <c r="F49" s="29"/>
      <c r="G49" s="53">
        <f t="shared" si="2"/>
        <v>14</v>
      </c>
      <c r="H49" s="18" t="s">
        <v>522</v>
      </c>
      <c r="I49" s="20"/>
    </row>
    <row r="50" spans="1:16" x14ac:dyDescent="0.25">
      <c r="A50" s="150">
        <f>MAXA(A$34:A49)+1</f>
        <v>15</v>
      </c>
      <c r="C50" s="24" t="s">
        <v>46</v>
      </c>
      <c r="D50" s="586">
        <v>3</v>
      </c>
      <c r="E50" s="18" t="s">
        <v>61</v>
      </c>
      <c r="F50" s="29"/>
      <c r="G50" s="53">
        <f t="shared" si="2"/>
        <v>15</v>
      </c>
      <c r="H50" s="18" t="s">
        <v>121</v>
      </c>
      <c r="I50" s="20"/>
    </row>
    <row r="51" spans="1:16" x14ac:dyDescent="0.25">
      <c r="A51" s="150">
        <f>MAXA(A$34:A50)+1</f>
        <v>16</v>
      </c>
      <c r="C51" s="24" t="s">
        <v>109</v>
      </c>
      <c r="D51" s="506">
        <v>60</v>
      </c>
      <c r="E51" s="18" t="s">
        <v>61</v>
      </c>
      <c r="F51" s="29"/>
      <c r="G51" s="305" t="str">
        <f>CONCATENATE(A51,"-",A53)</f>
        <v>16-18</v>
      </c>
      <c r="H51" s="813" t="s">
        <v>666</v>
      </c>
      <c r="I51" s="20"/>
      <c r="P51" s="27"/>
    </row>
    <row r="52" spans="1:16" x14ac:dyDescent="0.25">
      <c r="A52" s="150">
        <f>MAXA(A$34:A51)+1</f>
        <v>17</v>
      </c>
      <c r="C52" s="24" t="s">
        <v>111</v>
      </c>
      <c r="D52" s="507">
        <v>30</v>
      </c>
      <c r="E52" s="18" t="s">
        <v>61</v>
      </c>
      <c r="F52" s="29"/>
      <c r="G52" s="55"/>
      <c r="H52" s="813"/>
      <c r="I52" s="20"/>
    </row>
    <row r="53" spans="1:16" x14ac:dyDescent="0.25">
      <c r="A53" s="150">
        <f>MAXA(A$34:A52)+1</f>
        <v>18</v>
      </c>
      <c r="C53" s="24" t="s">
        <v>110</v>
      </c>
      <c r="D53" s="507">
        <v>10</v>
      </c>
      <c r="E53" s="18" t="s">
        <v>61</v>
      </c>
      <c r="F53" s="29"/>
      <c r="G53" s="55"/>
      <c r="H53" s="813"/>
      <c r="I53" s="20"/>
    </row>
    <row r="54" spans="1:16" ht="15.75" x14ac:dyDescent="0.25">
      <c r="A54" s="150"/>
      <c r="B54" s="145" t="s">
        <v>123</v>
      </c>
      <c r="C54" s="24"/>
      <c r="D54" s="18"/>
      <c r="E54" s="18"/>
      <c r="F54" s="29"/>
      <c r="G54" s="55"/>
      <c r="H54" s="49"/>
      <c r="I54" s="20"/>
    </row>
    <row r="55" spans="1:16" x14ac:dyDescent="0.25">
      <c r="A55" s="150">
        <f>MAXA(A$34:A54)+1</f>
        <v>19</v>
      </c>
      <c r="C55" s="24" t="s">
        <v>9</v>
      </c>
      <c r="D55" s="519">
        <f>VLOOKUP(D44,'Data-beregninger'!B25:C34,2)</f>
        <v>0.5554071599999999</v>
      </c>
      <c r="E55" s="18" t="s">
        <v>144</v>
      </c>
      <c r="F55" s="29"/>
      <c r="G55" s="53">
        <f>A55</f>
        <v>19</v>
      </c>
      <c r="H55" s="18" t="s">
        <v>829</v>
      </c>
      <c r="I55" s="20"/>
    </row>
    <row r="56" spans="1:16" x14ac:dyDescent="0.25">
      <c r="A56" s="150">
        <f>MAXA(A$34:A55)+1</f>
        <v>20</v>
      </c>
      <c r="C56" s="24" t="s">
        <v>141</v>
      </c>
      <c r="D56" s="504">
        <v>1.2</v>
      </c>
      <c r="E56" s="18" t="s">
        <v>124</v>
      </c>
      <c r="F56" s="29"/>
      <c r="G56" s="305" t="str">
        <f>CONCATENATE(A56,"-",A58)</f>
        <v>20-22</v>
      </c>
      <c r="H56" s="812" t="s">
        <v>920</v>
      </c>
      <c r="I56" s="20"/>
    </row>
    <row r="57" spans="1:16" x14ac:dyDescent="0.25">
      <c r="A57" s="150">
        <f>MAXA(A$34:A56)+1</f>
        <v>21</v>
      </c>
      <c r="C57" s="24" t="s">
        <v>142</v>
      </c>
      <c r="D57" s="556">
        <v>1</v>
      </c>
      <c r="E57" s="18" t="s">
        <v>124</v>
      </c>
      <c r="F57" s="29"/>
      <c r="G57" s="53"/>
      <c r="H57" s="812"/>
      <c r="I57" s="20"/>
    </row>
    <row r="58" spans="1:16" x14ac:dyDescent="0.25">
      <c r="A58" s="150">
        <f>MAXA(A$34:A57)+1</f>
        <v>22</v>
      </c>
      <c r="C58" s="24" t="s">
        <v>143</v>
      </c>
      <c r="D58" s="556">
        <v>1</v>
      </c>
      <c r="E58" s="18" t="s">
        <v>124</v>
      </c>
      <c r="F58" s="29"/>
      <c r="G58" s="53"/>
      <c r="H58" s="812"/>
      <c r="I58" s="20"/>
    </row>
    <row r="59" spans="1:16" ht="5.0999999999999996" customHeight="1" x14ac:dyDescent="0.25">
      <c r="A59" s="150"/>
      <c r="C59" s="24"/>
      <c r="D59" s="18"/>
      <c r="E59" s="18"/>
      <c r="F59" s="29"/>
      <c r="G59" s="53"/>
      <c r="H59" s="812"/>
      <c r="I59" s="20"/>
    </row>
    <row r="60" spans="1:16" ht="15" customHeight="1" x14ac:dyDescent="0.25">
      <c r="A60" s="144"/>
      <c r="B60" s="145" t="s">
        <v>313</v>
      </c>
      <c r="D60" s="18"/>
      <c r="E60" s="18"/>
      <c r="F60" s="18"/>
      <c r="G60" s="53"/>
      <c r="I60" s="20"/>
    </row>
    <row r="61" spans="1:16" x14ac:dyDescent="0.25">
      <c r="A61" s="150">
        <f>MAXA(A$34:A60)+1</f>
        <v>23</v>
      </c>
      <c r="C61" s="24" t="s">
        <v>106</v>
      </c>
      <c r="D61" s="506">
        <v>89</v>
      </c>
      <c r="E61" s="18" t="s">
        <v>115</v>
      </c>
      <c r="F61" s="29"/>
      <c r="G61" s="305" t="str">
        <f>CONCATENATE(A61,"-",A63)</f>
        <v>23-25</v>
      </c>
      <c r="H61" s="813" t="s">
        <v>1008</v>
      </c>
      <c r="I61" s="20"/>
    </row>
    <row r="62" spans="1:16" x14ac:dyDescent="0.25">
      <c r="A62" s="150">
        <f>MAXA(A$34:A61)+1</f>
        <v>24</v>
      </c>
      <c r="C62" s="24" t="s">
        <v>107</v>
      </c>
      <c r="D62" s="507">
        <v>80</v>
      </c>
      <c r="E62" s="18" t="s">
        <v>115</v>
      </c>
      <c r="F62" s="29"/>
      <c r="G62" s="55"/>
      <c r="H62" s="813"/>
      <c r="I62" s="20"/>
    </row>
    <row r="63" spans="1:16" x14ac:dyDescent="0.25">
      <c r="A63" s="150">
        <f>MAXA(A$34:A62)+1</f>
        <v>25</v>
      </c>
      <c r="C63" s="24" t="s">
        <v>108</v>
      </c>
      <c r="D63" s="507">
        <v>60</v>
      </c>
      <c r="E63" s="18" t="s">
        <v>115</v>
      </c>
      <c r="F63" s="29"/>
      <c r="G63" s="55"/>
      <c r="H63" s="813"/>
      <c r="I63" s="20"/>
    </row>
    <row r="64" spans="1:16" x14ac:dyDescent="0.25">
      <c r="A64" s="150"/>
      <c r="C64" s="24"/>
      <c r="D64" s="30" t="s">
        <v>54</v>
      </c>
      <c r="E64" s="30" t="s">
        <v>92</v>
      </c>
      <c r="F64" s="30" t="s">
        <v>93</v>
      </c>
      <c r="G64" s="55"/>
      <c r="H64" s="73"/>
      <c r="I64" s="20"/>
    </row>
    <row r="65" spans="1:18" ht="15" customHeight="1" x14ac:dyDescent="0.25">
      <c r="A65" s="150">
        <f>MAXA(A$34:A64)+1</f>
        <v>26</v>
      </c>
      <c r="B65" s="145"/>
      <c r="C65" s="24" t="s">
        <v>80</v>
      </c>
      <c r="D65" s="504">
        <v>-3</v>
      </c>
      <c r="E65" s="510">
        <v>-5</v>
      </c>
      <c r="F65" s="510">
        <v>-1</v>
      </c>
      <c r="G65" s="305" t="str">
        <f>CONCATENATE(A65,"-",A67)</f>
        <v>26-28</v>
      </c>
      <c r="H65" s="813" t="s">
        <v>849</v>
      </c>
      <c r="I65" s="20"/>
    </row>
    <row r="66" spans="1:18" ht="15" customHeight="1" x14ac:dyDescent="0.25">
      <c r="A66" s="150">
        <f>MAXA(A$34:A65)+1</f>
        <v>27</v>
      </c>
      <c r="B66" s="145"/>
      <c r="C66" s="24" t="s">
        <v>81</v>
      </c>
      <c r="D66" s="505">
        <v>-3</v>
      </c>
      <c r="E66" s="510">
        <v>-1</v>
      </c>
      <c r="F66" s="510">
        <v>-5</v>
      </c>
      <c r="G66" s="53"/>
      <c r="H66" s="812"/>
      <c r="I66" s="20"/>
    </row>
    <row r="67" spans="1:18" ht="15" customHeight="1" x14ac:dyDescent="0.25">
      <c r="A67" s="150">
        <f>MAXA(A$34:A66)+1</f>
        <v>28</v>
      </c>
      <c r="B67" s="145"/>
      <c r="C67" s="24" t="s">
        <v>82</v>
      </c>
      <c r="D67" s="505">
        <v>-3</v>
      </c>
      <c r="E67" s="510">
        <v>-1</v>
      </c>
      <c r="F67" s="510">
        <v>-5</v>
      </c>
      <c r="G67" s="53"/>
      <c r="H67" s="812"/>
      <c r="I67" s="20"/>
    </row>
    <row r="68" spans="1:18" s="19" customFormat="1" ht="15.75" hidden="1" customHeight="1" x14ac:dyDescent="0.25">
      <c r="A68" s="151"/>
      <c r="B68" s="147"/>
      <c r="C68" s="152" t="s">
        <v>89</v>
      </c>
      <c r="D68" s="19">
        <f>D65</f>
        <v>-3</v>
      </c>
      <c r="E68" s="19">
        <f>IF(COUNT($E65,$F65)=2,MAXA($E65:$F65),D68)</f>
        <v>-1</v>
      </c>
      <c r="F68" s="19">
        <f>IF(COUNT($E65,$F65)=2,MIN($E65:$F65),D68)</f>
        <v>-5</v>
      </c>
      <c r="G68" s="56"/>
      <c r="H68" s="32"/>
      <c r="J68" s="48"/>
      <c r="K68" s="48"/>
      <c r="L68" s="137"/>
      <c r="P68" s="33"/>
    </row>
    <row r="69" spans="1:18" s="19" customFormat="1" ht="15.75" hidden="1" customHeight="1" x14ac:dyDescent="0.25">
      <c r="A69" s="151"/>
      <c r="B69" s="147"/>
      <c r="C69" s="152" t="s">
        <v>90</v>
      </c>
      <c r="D69" s="19">
        <f>IF(COUNT(D66)=1,D66,"")</f>
        <v>-3</v>
      </c>
      <c r="E69" s="19">
        <f>IF(COUNT($E66,$F66)=2,MAXA($E66:$F66),D69)</f>
        <v>-1</v>
      </c>
      <c r="F69" s="19">
        <f>IF(COUNT($E66,$F66)=2,MIN($E66:$F66),D69)</f>
        <v>-5</v>
      </c>
      <c r="G69" s="56"/>
      <c r="H69" s="32"/>
      <c r="J69" s="48"/>
      <c r="K69" s="48"/>
      <c r="L69" s="137"/>
      <c r="P69" s="33"/>
    </row>
    <row r="70" spans="1:18" s="19" customFormat="1" ht="15.75" hidden="1" customHeight="1" x14ac:dyDescent="0.25">
      <c r="A70" s="151"/>
      <c r="B70" s="147"/>
      <c r="C70" s="152" t="s">
        <v>91</v>
      </c>
      <c r="D70" s="19">
        <f>IF(COUNT(D67)=1,D67,"")</f>
        <v>-3</v>
      </c>
      <c r="E70" s="19">
        <f>IF(COUNT($E67,$F67)=2,MAXA($E67:$F67),D70)</f>
        <v>-1</v>
      </c>
      <c r="F70" s="19">
        <f>IF(COUNT($E67,$F67)=2,MIN($E67:$F67),D70)</f>
        <v>-5</v>
      </c>
      <c r="G70" s="56"/>
      <c r="H70" s="32"/>
      <c r="J70" s="48"/>
      <c r="K70" s="48"/>
      <c r="L70" s="137"/>
      <c r="P70" s="33"/>
    </row>
    <row r="71" spans="1:18" s="19" customFormat="1" ht="15.75" hidden="1" customHeight="1" x14ac:dyDescent="0.25">
      <c r="A71" s="151"/>
      <c r="B71" s="147"/>
      <c r="C71" s="152" t="s">
        <v>89</v>
      </c>
      <c r="D71" s="19">
        <f>D68</f>
        <v>-3</v>
      </c>
      <c r="E71" s="19">
        <f>IF(D68&lt;0,E68,F68)</f>
        <v>-1</v>
      </c>
      <c r="F71" s="19">
        <f>IF(D68&lt;0,F68,E68)</f>
        <v>-5</v>
      </c>
      <c r="G71" s="56"/>
      <c r="H71" s="32"/>
      <c r="J71" s="48"/>
      <c r="K71" s="48"/>
      <c r="L71" s="137"/>
      <c r="P71" s="33"/>
    </row>
    <row r="72" spans="1:18" s="19" customFormat="1" ht="15.75" hidden="1" customHeight="1" x14ac:dyDescent="0.25">
      <c r="A72" s="151"/>
      <c r="B72" s="147"/>
      <c r="C72" s="152" t="s">
        <v>90</v>
      </c>
      <c r="D72" s="19">
        <f>D69</f>
        <v>-3</v>
      </c>
      <c r="E72" s="19">
        <f>IF(D69&lt;0,E69,F69)</f>
        <v>-1</v>
      </c>
      <c r="F72" s="19">
        <f>IF(D69&lt;0,F69,E69)</f>
        <v>-5</v>
      </c>
      <c r="G72" s="56"/>
      <c r="H72" s="32"/>
      <c r="J72" s="48"/>
      <c r="K72" s="48"/>
      <c r="L72" s="137"/>
      <c r="P72" s="33"/>
    </row>
    <row r="73" spans="1:18" s="19" customFormat="1" ht="15.75" hidden="1" customHeight="1" x14ac:dyDescent="0.25">
      <c r="A73" s="151"/>
      <c r="B73" s="147"/>
      <c r="C73" s="152" t="s">
        <v>91</v>
      </c>
      <c r="D73" s="19">
        <f>D70</f>
        <v>-3</v>
      </c>
      <c r="E73" s="19">
        <f>IF(D70&lt;0,E70,F70)</f>
        <v>-1</v>
      </c>
      <c r="F73" s="19">
        <f>IF(D70&lt;0,F70,E70)</f>
        <v>-5</v>
      </c>
      <c r="G73" s="56"/>
      <c r="H73" s="32"/>
      <c r="J73" s="48"/>
      <c r="K73" s="48"/>
      <c r="L73" s="137"/>
      <c r="P73" s="33"/>
    </row>
    <row r="74" spans="1:18" s="19" customFormat="1" ht="15.75" customHeight="1" x14ac:dyDescent="0.25">
      <c r="A74" s="151"/>
      <c r="B74" s="145" t="s">
        <v>302</v>
      </c>
      <c r="C74" s="18"/>
      <c r="D74" s="97" t="s">
        <v>178</v>
      </c>
      <c r="E74" s="97" t="s">
        <v>179</v>
      </c>
      <c r="F74" s="18"/>
      <c r="G74" s="53"/>
      <c r="H74" s="21"/>
      <c r="I74" s="18"/>
      <c r="J74" s="48"/>
      <c r="K74" s="48"/>
      <c r="L74" s="137"/>
      <c r="P74" s="33"/>
    </row>
    <row r="75" spans="1:18" s="19" customFormat="1" ht="15.75" customHeight="1" x14ac:dyDescent="0.25">
      <c r="A75" s="150">
        <f>MAXA(A$34:A74)+1</f>
        <v>29</v>
      </c>
      <c r="B75" s="147"/>
      <c r="C75" s="24" t="s">
        <v>314</v>
      </c>
      <c r="D75" s="505"/>
      <c r="E75" s="505"/>
      <c r="F75" s="18" t="s">
        <v>61</v>
      </c>
      <c r="G75" s="305" t="str">
        <f>CONCATENATE(A75,"-",A77)</f>
        <v>29-31</v>
      </c>
      <c r="H75" s="813" t="s">
        <v>718</v>
      </c>
      <c r="I75" s="18"/>
      <c r="J75" s="48"/>
      <c r="K75" s="48"/>
      <c r="L75" s="137"/>
      <c r="P75" s="33"/>
    </row>
    <row r="76" spans="1:18" s="19" customFormat="1" ht="15.75" customHeight="1" x14ac:dyDescent="0.25">
      <c r="A76" s="150">
        <f>MAXA(A$34:A75)+1</f>
        <v>30</v>
      </c>
      <c r="B76" s="147"/>
      <c r="C76" s="24" t="s">
        <v>315</v>
      </c>
      <c r="D76" s="505"/>
      <c r="E76" s="505"/>
      <c r="F76" s="18" t="s">
        <v>61</v>
      </c>
      <c r="G76" s="55"/>
      <c r="H76" s="812"/>
      <c r="I76" s="18"/>
      <c r="J76" s="48"/>
      <c r="K76" s="48"/>
      <c r="L76" s="137"/>
      <c r="P76" s="33"/>
    </row>
    <row r="77" spans="1:18" s="19" customFormat="1" ht="15.75" customHeight="1" x14ac:dyDescent="0.25">
      <c r="A77" s="150">
        <f>MAXA(A$34:A76)+1</f>
        <v>31</v>
      </c>
      <c r="B77" s="147"/>
      <c r="C77" s="24" t="s">
        <v>316</v>
      </c>
      <c r="D77" s="505"/>
      <c r="E77" s="505"/>
      <c r="F77" s="18" t="s">
        <v>61</v>
      </c>
      <c r="G77" s="55"/>
      <c r="H77" s="812"/>
      <c r="I77" s="18"/>
      <c r="J77" s="48"/>
      <c r="K77" s="48"/>
      <c r="L77" s="137"/>
      <c r="P77" s="33"/>
    </row>
    <row r="78" spans="1:18" ht="18.75" x14ac:dyDescent="0.3">
      <c r="A78" s="207" t="s">
        <v>5</v>
      </c>
      <c r="C78" s="24"/>
      <c r="D78" s="64"/>
      <c r="E78" s="65"/>
      <c r="F78" s="65"/>
      <c r="G78" s="53"/>
      <c r="I78" s="18"/>
      <c r="J78" s="139"/>
      <c r="K78" s="139"/>
      <c r="L78" s="140"/>
      <c r="M78" s="18"/>
      <c r="N78" s="18"/>
      <c r="O78" s="18"/>
    </row>
    <row r="79" spans="1:18" s="19" customFormat="1" ht="15" hidden="1" customHeight="1" x14ac:dyDescent="0.25">
      <c r="A79" s="161"/>
      <c r="B79" s="162"/>
      <c r="C79" s="22" t="s">
        <v>56</v>
      </c>
      <c r="G79" s="57"/>
      <c r="J79" s="272" t="s">
        <v>195</v>
      </c>
      <c r="K79" s="272" t="s">
        <v>202</v>
      </c>
      <c r="L79" s="280" t="s">
        <v>203</v>
      </c>
      <c r="M79" s="280"/>
      <c r="N79" s="273"/>
      <c r="O79" s="273"/>
      <c r="P79" s="273"/>
      <c r="Q79" s="273"/>
      <c r="R79" s="273"/>
    </row>
    <row r="80" spans="1:18" s="19" customFormat="1" ht="15" hidden="1" customHeight="1" x14ac:dyDescent="0.25">
      <c r="A80" s="161"/>
      <c r="B80" s="162"/>
      <c r="C80" s="22" t="s">
        <v>56</v>
      </c>
      <c r="G80" s="57"/>
      <c r="J80" s="272" t="s">
        <v>201</v>
      </c>
      <c r="K80" s="281">
        <f>COUNTA(D34,D40,D41,#REF!,F45,D46,D47,D51,D56,D61,D65)</f>
        <v>11</v>
      </c>
      <c r="L80" s="280">
        <v>11</v>
      </c>
      <c r="M80" s="280"/>
      <c r="N80" s="273"/>
      <c r="O80" s="280">
        <f>IF(K80=L80,0,1)</f>
        <v>0</v>
      </c>
      <c r="P80" s="280" t="str">
        <f>IF(K80=L80,""," - Oransje celler")</f>
        <v/>
      </c>
      <c r="Q80" s="280"/>
      <c r="R80" s="280"/>
    </row>
    <row r="81" spans="1:21" s="19" customFormat="1" ht="15" hidden="1" customHeight="1" x14ac:dyDescent="0.25">
      <c r="A81" s="161"/>
      <c r="B81" s="162"/>
      <c r="C81" s="22" t="s">
        <v>56</v>
      </c>
      <c r="G81" s="57"/>
      <c r="J81" s="272"/>
      <c r="K81" s="280" t="s">
        <v>518</v>
      </c>
      <c r="L81" s="280" t="s">
        <v>302</v>
      </c>
      <c r="M81" s="280" t="s">
        <v>199</v>
      </c>
      <c r="N81" s="280"/>
      <c r="O81" s="280" t="s">
        <v>518</v>
      </c>
      <c r="P81" s="280" t="s">
        <v>302</v>
      </c>
      <c r="Q81" s="280" t="s">
        <v>199</v>
      </c>
      <c r="R81" s="280"/>
    </row>
    <row r="82" spans="1:21" s="19" customFormat="1" ht="15" hidden="1" customHeight="1" x14ac:dyDescent="0.25">
      <c r="A82" s="161"/>
      <c r="B82" s="162"/>
      <c r="C82" s="22" t="s">
        <v>56</v>
      </c>
      <c r="G82" s="57"/>
      <c r="J82" s="272" t="s">
        <v>514</v>
      </c>
      <c r="K82" s="272"/>
      <c r="L82" s="280"/>
      <c r="M82" s="280"/>
      <c r="N82" s="273"/>
      <c r="O82" s="280" t="s">
        <v>517</v>
      </c>
      <c r="P82" s="280"/>
      <c r="Q82" s="280"/>
      <c r="R82" s="280"/>
    </row>
    <row r="83" spans="1:21" s="19" customFormat="1" ht="15" hidden="1" customHeight="1" x14ac:dyDescent="0.25">
      <c r="A83" s="161"/>
      <c r="B83" s="162"/>
      <c r="C83" s="22" t="s">
        <v>56</v>
      </c>
      <c r="G83" s="57"/>
      <c r="J83" s="272" t="s">
        <v>242</v>
      </c>
      <c r="K83" s="272"/>
      <c r="L83" s="272">
        <v>2</v>
      </c>
      <c r="M83" s="272"/>
      <c r="N83" s="272"/>
      <c r="O83" s="280">
        <f t="shared" ref="O83:Q85" si="3">IF(D15="Nei",0,IF(K83=K87,0,1))</f>
        <v>0</v>
      </c>
      <c r="P83" s="280">
        <f t="shared" si="3"/>
        <v>0</v>
      </c>
      <c r="Q83" s="280">
        <f t="shared" si="3"/>
        <v>0</v>
      </c>
      <c r="R83" s="280"/>
    </row>
    <row r="84" spans="1:21" s="19" customFormat="1" ht="15" hidden="1" customHeight="1" x14ac:dyDescent="0.25">
      <c r="A84" s="161"/>
      <c r="B84" s="162"/>
      <c r="C84" s="22" t="s">
        <v>56</v>
      </c>
      <c r="G84" s="57"/>
      <c r="J84" s="272" t="s">
        <v>197</v>
      </c>
      <c r="K84" s="272">
        <v>4</v>
      </c>
      <c r="L84" s="272">
        <v>2</v>
      </c>
      <c r="M84" s="272">
        <v>6</v>
      </c>
      <c r="N84" s="272"/>
      <c r="O84" s="280">
        <f t="shared" si="3"/>
        <v>0</v>
      </c>
      <c r="P84" s="280">
        <f t="shared" si="3"/>
        <v>0</v>
      </c>
      <c r="Q84" s="280">
        <f t="shared" si="3"/>
        <v>0</v>
      </c>
      <c r="R84" s="280"/>
    </row>
    <row r="85" spans="1:21" s="19" customFormat="1" ht="15" hidden="1" customHeight="1" x14ac:dyDescent="0.25">
      <c r="A85" s="161"/>
      <c r="B85" s="162"/>
      <c r="C85" s="22" t="s">
        <v>56</v>
      </c>
      <c r="G85" s="57"/>
      <c r="J85" s="272" t="s">
        <v>200</v>
      </c>
      <c r="K85" s="272">
        <v>4</v>
      </c>
      <c r="L85" s="272">
        <v>2</v>
      </c>
      <c r="M85" s="272">
        <v>6</v>
      </c>
      <c r="N85" s="272"/>
      <c r="O85" s="280">
        <f t="shared" si="3"/>
        <v>0</v>
      </c>
      <c r="P85" s="280">
        <f t="shared" si="3"/>
        <v>0</v>
      </c>
      <c r="Q85" s="280">
        <f t="shared" si="3"/>
        <v>0</v>
      </c>
      <c r="R85" s="280"/>
    </row>
    <row r="86" spans="1:21" s="19" customFormat="1" ht="15" hidden="1" customHeight="1" x14ac:dyDescent="0.25">
      <c r="A86" s="161"/>
      <c r="B86" s="132"/>
      <c r="C86" s="22" t="s">
        <v>56</v>
      </c>
      <c r="G86" s="57"/>
      <c r="H86" s="820"/>
      <c r="J86" s="272" t="s">
        <v>515</v>
      </c>
      <c r="K86" s="272"/>
      <c r="L86" s="272"/>
      <c r="M86" s="272"/>
      <c r="N86" s="272"/>
      <c r="O86" s="280" t="s">
        <v>519</v>
      </c>
      <c r="P86" s="280"/>
      <c r="Q86" s="280"/>
      <c r="R86" s="280"/>
    </row>
    <row r="87" spans="1:21" s="19" customFormat="1" ht="15" hidden="1" customHeight="1" x14ac:dyDescent="0.25">
      <c r="A87" s="163"/>
      <c r="B87" s="132"/>
      <c r="C87" s="22" t="s">
        <v>56</v>
      </c>
      <c r="G87" s="57"/>
      <c r="H87" s="820"/>
      <c r="J87" s="272" t="s">
        <v>242</v>
      </c>
      <c r="K87" s="272"/>
      <c r="L87" s="272">
        <f>COUNTA(D75:E75)</f>
        <v>0</v>
      </c>
      <c r="N87" s="272"/>
      <c r="O87" s="280" t="str">
        <f t="shared" ref="O87:Q89" si="4">IF(O83=1,CONCATENATE(" - ",O$81," (",$J87,")"),"")</f>
        <v/>
      </c>
      <c r="P87" s="280" t="str">
        <f t="shared" si="4"/>
        <v/>
      </c>
      <c r="Q87" s="280" t="str">
        <f t="shared" si="4"/>
        <v/>
      </c>
      <c r="R87" s="280"/>
    </row>
    <row r="88" spans="1:21" s="19" customFormat="1" ht="15" hidden="1" customHeight="1" x14ac:dyDescent="0.25">
      <c r="A88" s="163"/>
      <c r="B88" s="132"/>
      <c r="C88" s="22" t="s">
        <v>56</v>
      </c>
      <c r="G88" s="57"/>
      <c r="H88" s="820"/>
      <c r="J88" s="272" t="s">
        <v>197</v>
      </c>
      <c r="K88" s="272">
        <f>COUNTA(D52,D57,D62,D66)</f>
        <v>4</v>
      </c>
      <c r="L88" s="272">
        <f>COUNTA(D76:E76)</f>
        <v>0</v>
      </c>
      <c r="M88" s="281">
        <f>K88+COUNT(D48:D49)</f>
        <v>6</v>
      </c>
      <c r="O88" s="280" t="str">
        <f t="shared" si="4"/>
        <v/>
      </c>
      <c r="P88" s="280" t="str">
        <f t="shared" si="4"/>
        <v/>
      </c>
      <c r="Q88" s="280" t="str">
        <f t="shared" si="4"/>
        <v/>
      </c>
      <c r="R88" s="273"/>
    </row>
    <row r="89" spans="1:21" s="19" customFormat="1" ht="15" hidden="1" customHeight="1" x14ac:dyDescent="0.25">
      <c r="A89" s="163"/>
      <c r="B89" s="132"/>
      <c r="C89" s="22" t="s">
        <v>56</v>
      </c>
      <c r="H89" s="820"/>
      <c r="J89" s="272" t="s">
        <v>200</v>
      </c>
      <c r="K89" s="272">
        <f>COUNTA(D53,D58,D63,D67)</f>
        <v>4</v>
      </c>
      <c r="L89" s="272">
        <f>COUNTA(D77:E77)</f>
        <v>0</v>
      </c>
      <c r="M89" s="281">
        <f>K89+COUNT(D48:D49)</f>
        <v>6</v>
      </c>
      <c r="O89" s="280" t="str">
        <f t="shared" si="4"/>
        <v/>
      </c>
      <c r="P89" s="280" t="str">
        <f t="shared" si="4"/>
        <v/>
      </c>
      <c r="Q89" s="280" t="str">
        <f t="shared" si="4"/>
        <v/>
      </c>
      <c r="R89" s="273"/>
    </row>
    <row r="90" spans="1:21" ht="30" customHeight="1" x14ac:dyDescent="0.25">
      <c r="A90" s="149"/>
      <c r="B90" s="145"/>
      <c r="C90" s="292" t="s">
        <v>326</v>
      </c>
      <c r="D90" s="827" t="str">
        <f>IF(SUM(O80,O83:R85)=0,"-",CONCATENATE("Det mangler informasjon, sjekk beregningsforutsetninger for: ",P80,O87,O88,O89,P87,P88,P89,Q87,Q88,Q89,R87,R88,R89," eller endre Ja/Nei under 'Nyttekomponenter som inngår…'"))</f>
        <v>-</v>
      </c>
      <c r="E90" s="828"/>
      <c r="F90" s="828"/>
      <c r="G90" s="828"/>
      <c r="H90" s="828"/>
      <c r="I90" s="20"/>
      <c r="P90" s="48"/>
      <c r="Q90" s="48"/>
      <c r="R90" s="137"/>
      <c r="S90" s="19"/>
      <c r="T90" s="19"/>
      <c r="U90" s="19"/>
    </row>
    <row r="91" spans="1:21" ht="30" x14ac:dyDescent="0.25">
      <c r="A91" s="151"/>
      <c r="B91" s="148" t="s">
        <v>125</v>
      </c>
      <c r="C91" s="24"/>
      <c r="D91" s="50" t="s">
        <v>54</v>
      </c>
      <c r="E91" s="50" t="s">
        <v>92</v>
      </c>
      <c r="F91" s="50" t="s">
        <v>93</v>
      </c>
      <c r="G91" s="53"/>
      <c r="H91" s="403" t="s">
        <v>728</v>
      </c>
      <c r="I91" s="20"/>
      <c r="L91" s="143" t="s">
        <v>54</v>
      </c>
      <c r="M91" s="143" t="s">
        <v>278</v>
      </c>
      <c r="N91" s="143" t="s">
        <v>279</v>
      </c>
      <c r="O91" s="143" t="s">
        <v>483</v>
      </c>
      <c r="P91" s="48" t="s">
        <v>485</v>
      </c>
      <c r="Q91" s="48" t="s">
        <v>486</v>
      </c>
      <c r="R91" s="48" t="s">
        <v>482</v>
      </c>
    </row>
    <row r="92" spans="1:21" x14ac:dyDescent="0.25">
      <c r="A92" s="149">
        <f>MAXA(A$34:A91)+1</f>
        <v>32</v>
      </c>
      <c r="C92" s="24" t="s">
        <v>725</v>
      </c>
      <c r="D92" s="520">
        <f>IF($D15="ja",L99,0)</f>
        <v>-9.6525519287351855</v>
      </c>
      <c r="E92" s="521">
        <f>IF($D15="ja",IF($D92&lt;0,M99,N99),0)</f>
        <v>-1.8173881446679032</v>
      </c>
      <c r="F92" s="521">
        <f>IF($D15="ja",IF($D92&lt;0,N99,M99),0)</f>
        <v>-20.524117217006307</v>
      </c>
      <c r="G92" s="305" t="str">
        <f>CONCATENATE(A92,"-",A94)</f>
        <v>32-34</v>
      </c>
      <c r="H92" s="813" t="s">
        <v>830</v>
      </c>
      <c r="I92" s="20"/>
      <c r="K92" s="143" t="s">
        <v>477</v>
      </c>
      <c r="L92" s="143">
        <f>'Data-beregninger'!C43</f>
        <v>4.5999999999999996</v>
      </c>
      <c r="M92" s="143">
        <f>'Data-beregninger'!C44</f>
        <v>4</v>
      </c>
      <c r="N92" s="143">
        <f>'Data-beregninger'!C45</f>
        <v>5.2</v>
      </c>
      <c r="O92" s="241">
        <f>'Data-beregninger'!C13</f>
        <v>35370154.666703999</v>
      </c>
      <c r="P92" s="48">
        <f>IF($F$45="By",'Data-beregninger'!C50,'Data-beregninger'!C49)</f>
        <v>2.5699054516193923E-2</v>
      </c>
      <c r="Q92" s="241">
        <f>P92*O92</f>
        <v>908979.53302583704</v>
      </c>
      <c r="R92" s="48">
        <f>Q92/SUM(Q$92:Q$94)</f>
        <v>0.38269184097817127</v>
      </c>
    </row>
    <row r="93" spans="1:21" x14ac:dyDescent="0.25">
      <c r="A93" s="149">
        <f>MAXA(A$34:A92)+1</f>
        <v>33</v>
      </c>
      <c r="C93" s="24" t="s">
        <v>726</v>
      </c>
      <c r="D93" s="520">
        <f>IF($D16="ja",L103,0)</f>
        <v>0</v>
      </c>
      <c r="E93" s="521">
        <f>IF($D16="ja",IF($D93&lt;0,M103,N103),0)</f>
        <v>0</v>
      </c>
      <c r="F93" s="521">
        <f>IF($D16="ja",IF($D93&lt;0,N103,M103),0)</f>
        <v>0</v>
      </c>
      <c r="G93" s="53"/>
      <c r="H93" s="813"/>
      <c r="I93" s="20"/>
      <c r="K93" s="266" t="s">
        <v>478</v>
      </c>
      <c r="L93" s="143">
        <f>'Data-beregninger'!D43</f>
        <v>3.5</v>
      </c>
      <c r="M93" s="143">
        <f>'Data-beregninger'!D44</f>
        <v>0.5</v>
      </c>
      <c r="N93" s="143">
        <f>'Data-beregninger'!D45</f>
        <v>5.5</v>
      </c>
      <c r="O93" s="241">
        <f>'Data-beregninger'!C16</f>
        <v>9530607.8078639992</v>
      </c>
      <c r="P93" s="48">
        <f>IF($F$45="By",'Data-beregninger'!D50,'Data-beregninger'!D49)</f>
        <v>8.6979480989740496E-2</v>
      </c>
      <c r="Q93" s="241">
        <f>P93*O93</f>
        <v>828967.32064477901</v>
      </c>
      <c r="R93" s="48">
        <f>Q93/SUM(Q$92:Q$94)</f>
        <v>0.34900569102173085</v>
      </c>
    </row>
    <row r="94" spans="1:21" x14ac:dyDescent="0.25">
      <c r="A94" s="149">
        <f>MAXA(A$34:A93)+1</f>
        <v>34</v>
      </c>
      <c r="C94" s="24" t="s">
        <v>727</v>
      </c>
      <c r="D94" s="520">
        <f>IF($D17="ja",L107,0)</f>
        <v>0</v>
      </c>
      <c r="E94" s="521">
        <f>IF($D17="ja",IF($D94&lt;0,M107,N107),0)</f>
        <v>0</v>
      </c>
      <c r="F94" s="521">
        <f>IF($D17="ja",IF($D94&lt;0,N107,M107),0)</f>
        <v>0</v>
      </c>
      <c r="G94" s="53"/>
      <c r="H94" s="813"/>
      <c r="I94" s="20"/>
      <c r="K94" s="266" t="s">
        <v>479</v>
      </c>
      <c r="L94" s="143">
        <f>'Data-beregninger'!E43</f>
        <v>1.4</v>
      </c>
      <c r="M94" s="143">
        <f>'Data-beregninger'!E44</f>
        <v>0.5</v>
      </c>
      <c r="N94" s="143">
        <f>'Data-beregninger'!E45</f>
        <v>2.2999999999999998</v>
      </c>
      <c r="O94" s="241">
        <f>'Data-beregninger'!C17</f>
        <v>718205.26034400007</v>
      </c>
      <c r="P94" s="48">
        <f>IF($F$45="By",'Data-beregninger'!E50,'Data-beregninger'!E49)</f>
        <v>0.88732146449406557</v>
      </c>
      <c r="Q94" s="241">
        <f>P94*O94</f>
        <v>637278.94341577974</v>
      </c>
      <c r="R94" s="48">
        <f>Q94/SUM(Q$92:Q$94)</f>
        <v>0.26830246800009788</v>
      </c>
    </row>
    <row r="95" spans="1:21" ht="23.25" customHeight="1" x14ac:dyDescent="0.25">
      <c r="A95" s="149"/>
      <c r="C95" s="24"/>
      <c r="D95" s="825" t="str">
        <f>IF(SUM(D103:D105)&gt;0,"(hvis Beste anslag ikke ligger mellom Nedre og Øvre grense kan dette skyldes at beregningen av nedre/øvre grense er gjort med nedre / øvre grense av fartsendringen OG koeffisientene i potensmodellen)","plass for feilmeldinger - ingen feilmelding")</f>
        <v>(hvis Beste anslag ikke ligger mellom Nedre og Øvre grense kan dette skyldes at beregningen av nedre/øvre grense er gjort med nedre / øvre grense av fartsendringen OG koeffisientene i potensmodellen)</v>
      </c>
      <c r="E95" s="826"/>
      <c r="F95" s="826"/>
      <c r="G95" s="826"/>
      <c r="H95" s="826"/>
      <c r="I95" s="368"/>
      <c r="K95" s="266"/>
      <c r="L95" s="143"/>
      <c r="M95" s="143"/>
      <c r="N95" s="143"/>
      <c r="O95" s="241"/>
      <c r="P95" s="48"/>
      <c r="Q95" s="241"/>
      <c r="R95" s="48"/>
    </row>
    <row r="96" spans="1:21" s="19" customFormat="1" ht="15" hidden="1" customHeight="1" x14ac:dyDescent="0.25">
      <c r="A96" s="51"/>
      <c r="B96" s="31"/>
      <c r="C96" s="22" t="s">
        <v>56</v>
      </c>
      <c r="D96" s="34">
        <f>D$55*$D56*D92/100</f>
        <v>-6.433315744189598E-2</v>
      </c>
      <c r="E96" s="35">
        <f>IF(COUNT(E71)=1,$D$55*$D$56*E92/100,"")</f>
        <v>-1.2112684656572028E-2</v>
      </c>
      <c r="F96" s="35">
        <f>IF(COUNT(F71)=1,$D$55*$D$56*F92/100,"")</f>
        <v>-0.13679089986005491</v>
      </c>
      <c r="G96" s="56"/>
      <c r="H96" s="157" t="s">
        <v>311</v>
      </c>
      <c r="J96" s="143" t="s">
        <v>487</v>
      </c>
      <c r="K96" s="143" t="s">
        <v>477</v>
      </c>
      <c r="L96" s="48">
        <f>100*(-1+(((100+D71)/100)^L92))</f>
        <v>-13.073943536292809</v>
      </c>
      <c r="M96" s="48">
        <f>IF(COUNT(E$71)=1,100*(-1+(((100+E$71)/100)^M92)),100*(-1+(((100+D$71)/100)^M92)))</f>
        <v>-3.9403990000000055</v>
      </c>
      <c r="N96" s="48">
        <f>IF(COUNT(F$71)=1,100*(-1+(((100+F$71)/100)^N92)),100*(-1+(((100+D$71)/100)^N92)))</f>
        <v>-23.411643967457184</v>
      </c>
      <c r="P96" s="33"/>
    </row>
    <row r="97" spans="1:18" s="19" customFormat="1" ht="15" hidden="1" customHeight="1" x14ac:dyDescent="0.25">
      <c r="A97" s="51"/>
      <c r="B97" s="31"/>
      <c r="C97" s="22" t="s">
        <v>56</v>
      </c>
      <c r="D97" s="36">
        <f>D96*($D$46/1000)*365*$D$47*($D51/100)</f>
        <v>-140889.61479775218</v>
      </c>
      <c r="E97" s="37">
        <f>E96*($D$46/1000)*365*$D$47*($D51/100)</f>
        <v>-26526.779397892737</v>
      </c>
      <c r="F97" s="37">
        <f>F96*($D$46/1000)*365*$D$47*($D51/100)</f>
        <v>-299572.07069352025</v>
      </c>
      <c r="G97" s="56"/>
      <c r="H97" s="157" t="s">
        <v>312</v>
      </c>
      <c r="J97" s="48"/>
      <c r="K97" s="266" t="s">
        <v>478</v>
      </c>
      <c r="L97" s="48">
        <f>100*(-1+(((100+D71)/100)^L93))</f>
        <v>-10.112134034613451</v>
      </c>
      <c r="M97" s="48">
        <f>IF(COUNT(E$71)=1,100*(-1+(((100+E$71)/100)^M93)),100*(-1+(((100+D$71)/100)^M93)))</f>
        <v>-0.50125628933800348</v>
      </c>
      <c r="N97" s="48">
        <f>IF(COUNT(F$71)=1,100*(-1+(((100+F$71)/100)^N93)),100*(-1+(((100+D$71)/100)^N93)))</f>
        <v>-24.581163342540236</v>
      </c>
      <c r="P97" s="33"/>
    </row>
    <row r="98" spans="1:18" s="19" customFormat="1" ht="15" hidden="1" customHeight="1" x14ac:dyDescent="0.25">
      <c r="A98" s="51"/>
      <c r="B98" s="31"/>
      <c r="C98" s="22" t="s">
        <v>56</v>
      </c>
      <c r="D98" s="34">
        <f>D$55*D57*D93/100</f>
        <v>0</v>
      </c>
      <c r="E98" s="35">
        <f>IF(COUNT(E72)=1,$D$55*$D$56*E93/100,"")</f>
        <v>0</v>
      </c>
      <c r="F98" s="35">
        <f>IF(COUNT(F72)=1,$D$55*$D$56*F93/100,"")</f>
        <v>0</v>
      </c>
      <c r="G98" s="56"/>
      <c r="H98" s="157" t="s">
        <v>311</v>
      </c>
      <c r="J98" s="48"/>
      <c r="K98" s="266" t="s">
        <v>479</v>
      </c>
      <c r="L98" s="48">
        <f>100*(-1+(((100+D71)/100)^L94))</f>
        <v>-4.1746469567756179</v>
      </c>
      <c r="M98" s="48">
        <f>IF(COUNT(E$71)=1,100*(-1+(((100+E$71)/100)^M94)),100*(-1+(((100+D$71)/100)^M94)))</f>
        <v>-0.50125628933800348</v>
      </c>
      <c r="N98" s="48">
        <f>IF(COUNT(F$71)=1,100*(-1+(((100+F$71)/100)^N94)),100*(-1+(((100+D$71)/100)^N94)))</f>
        <v>-11.128135385963855</v>
      </c>
      <c r="P98" s="33"/>
    </row>
    <row r="99" spans="1:18" s="19" customFormat="1" ht="15" hidden="1" customHeight="1" x14ac:dyDescent="0.25">
      <c r="A99" s="51"/>
      <c r="B99" s="31"/>
      <c r="C99" s="22" t="s">
        <v>56</v>
      </c>
      <c r="D99" s="36">
        <f>D98*(D46/1000)*365*D47*(D52/100)</f>
        <v>0</v>
      </c>
      <c r="E99" s="37">
        <f>E98*($D$46/1000)*365*$D$47*($D52/100)</f>
        <v>0</v>
      </c>
      <c r="F99" s="37">
        <f>F98*($D$46/1000)*365*$D$47*($D52/100)</f>
        <v>0</v>
      </c>
      <c r="G99" s="56"/>
      <c r="H99" s="157" t="s">
        <v>312</v>
      </c>
      <c r="K99" s="266" t="s">
        <v>490</v>
      </c>
      <c r="L99" s="268">
        <f>L96*$R$92+L97*$R$93+L98*$R$94</f>
        <v>-9.6525519287351855</v>
      </c>
      <c r="M99" s="268">
        <f>M96*$R$92+M97*$R$93+M98*$R$94</f>
        <v>-1.8173881446679032</v>
      </c>
      <c r="N99" s="268">
        <f>N96*$R$92+N97*$R$93+N98*$R$94</f>
        <v>-20.524117217006307</v>
      </c>
      <c r="P99" s="33"/>
    </row>
    <row r="100" spans="1:18" s="19" customFormat="1" ht="15" hidden="1" customHeight="1" x14ac:dyDescent="0.25">
      <c r="A100" s="51"/>
      <c r="B100" s="31"/>
      <c r="C100" s="22" t="s">
        <v>56</v>
      </c>
      <c r="D100" s="34">
        <f>D$55*D58*D94/100</f>
        <v>0</v>
      </c>
      <c r="E100" s="35">
        <f>IF(COUNT(E73)=1,$D$55*$D$56*E94/100,"")</f>
        <v>0</v>
      </c>
      <c r="F100" s="35">
        <f>IF(COUNT(F73)=1,$D$55*$D$56*F94/100,"")</f>
        <v>0</v>
      </c>
      <c r="G100" s="56"/>
      <c r="H100" s="157" t="s">
        <v>311</v>
      </c>
      <c r="J100" s="143" t="s">
        <v>488</v>
      </c>
      <c r="K100" s="143" t="s">
        <v>477</v>
      </c>
      <c r="L100" s="48">
        <f>100*(-1+(((100+D$72)/100)^L92))</f>
        <v>-13.073943536292809</v>
      </c>
      <c r="M100" s="48">
        <f t="shared" ref="M100:N102" si="5">IF(COUNT(E$72)=1,100*(-1+(((100+E$72)/100)^M92)),100*(-1+(((100+$D$72)/100)^M92)))</f>
        <v>-3.9403990000000055</v>
      </c>
      <c r="N100" s="48">
        <f t="shared" si="5"/>
        <v>-23.411643967457184</v>
      </c>
      <c r="P100" s="33"/>
      <c r="R100" s="267"/>
    </row>
    <row r="101" spans="1:18" s="19" customFormat="1" ht="15" hidden="1" customHeight="1" x14ac:dyDescent="0.25">
      <c r="A101" s="51"/>
      <c r="B101" s="31"/>
      <c r="C101" s="22" t="s">
        <v>56</v>
      </c>
      <c r="D101" s="36">
        <f>D100*(D46/1000)*365*D47*(D53/100)</f>
        <v>0</v>
      </c>
      <c r="E101" s="37">
        <f>E100*($D$46/1000)*365*$D$47*($D53/100)</f>
        <v>0</v>
      </c>
      <c r="F101" s="37">
        <f>F100*($D$46/1000)*365*$D$47*($D53/100)</f>
        <v>0</v>
      </c>
      <c r="G101" s="56"/>
      <c r="H101" s="157" t="s">
        <v>312</v>
      </c>
      <c r="K101" s="266" t="s">
        <v>478</v>
      </c>
      <c r="L101" s="48">
        <f>100*(-1+(((100+D$72)/100)^L93))</f>
        <v>-10.112134034613451</v>
      </c>
      <c r="M101" s="48">
        <f t="shared" si="5"/>
        <v>-0.50125628933800348</v>
      </c>
      <c r="N101" s="48">
        <f t="shared" si="5"/>
        <v>-24.581163342540236</v>
      </c>
      <c r="P101" s="33"/>
      <c r="R101" s="267"/>
    </row>
    <row r="102" spans="1:18" s="19" customFormat="1" ht="15" hidden="1" customHeight="1" x14ac:dyDescent="0.25">
      <c r="A102" s="51"/>
      <c r="B102" s="31"/>
      <c r="C102" s="22"/>
      <c r="D102" s="36"/>
      <c r="E102" s="38"/>
      <c r="F102" s="38"/>
      <c r="G102" s="56"/>
      <c r="H102" s="230"/>
      <c r="K102" s="266" t="s">
        <v>479</v>
      </c>
      <c r="L102" s="48">
        <f>100*(-1+(((100+D$72)/100)^L94))</f>
        <v>-4.1746469567756179</v>
      </c>
      <c r="M102" s="48">
        <f t="shared" si="5"/>
        <v>-0.50125628933800348</v>
      </c>
      <c r="N102" s="48">
        <f t="shared" si="5"/>
        <v>-11.128135385963855</v>
      </c>
      <c r="P102" s="33"/>
      <c r="R102" s="267"/>
    </row>
    <row r="103" spans="1:18" s="19" customFormat="1" ht="15" hidden="1" customHeight="1" x14ac:dyDescent="0.25">
      <c r="A103" s="51"/>
      <c r="B103" s="31"/>
      <c r="C103" s="22"/>
      <c r="D103" s="36">
        <f>IF(E103*F103&gt;0,0,1)</f>
        <v>0</v>
      </c>
      <c r="E103" s="38">
        <f>E92-D92</f>
        <v>7.8351637840672819</v>
      </c>
      <c r="F103" s="38">
        <f>D92-F92</f>
        <v>10.871565288271121</v>
      </c>
      <c r="G103" s="56"/>
      <c r="H103" s="367" t="s">
        <v>722</v>
      </c>
      <c r="K103" s="266" t="s">
        <v>490</v>
      </c>
      <c r="L103" s="268">
        <f>L100*$R$92+L101*$R$93+L102*$R$94</f>
        <v>-9.6525519287351855</v>
      </c>
      <c r="M103" s="268">
        <f>M100*$R$92+M101*$R$93+M102*$R$94</f>
        <v>-1.8173881446679032</v>
      </c>
      <c r="N103" s="268">
        <f>N100*$R$92+N101*$R$93+N102*$R$94</f>
        <v>-20.524117217006307</v>
      </c>
      <c r="P103" s="33"/>
      <c r="Q103" s="33"/>
      <c r="R103" s="267"/>
    </row>
    <row r="104" spans="1:18" s="19" customFormat="1" ht="15" hidden="1" customHeight="1" x14ac:dyDescent="0.25">
      <c r="A104" s="51"/>
      <c r="B104" s="31"/>
      <c r="C104" s="22"/>
      <c r="D104" s="36">
        <f>IF(E104*F104&gt;0,0,1)</f>
        <v>1</v>
      </c>
      <c r="E104" s="38">
        <f>E93-D93</f>
        <v>0</v>
      </c>
      <c r="F104" s="38">
        <f>D93-F93</f>
        <v>0</v>
      </c>
      <c r="G104" s="56"/>
      <c r="H104" s="367" t="s">
        <v>723</v>
      </c>
      <c r="J104" s="143" t="s">
        <v>489</v>
      </c>
      <c r="K104" s="143" t="s">
        <v>477</v>
      </c>
      <c r="L104" s="48">
        <f>100*(-1+(((100+D$73)/100)^L92))</f>
        <v>-13.073943536292809</v>
      </c>
      <c r="M104" s="48">
        <f t="shared" ref="M104:N106" si="6">IF(COUNT(E$73)=1,100*(-1+(((100+E$73)/100)^M92)),100*(-1+(((100+$D$73)/100)^M92)))</f>
        <v>-3.9403990000000055</v>
      </c>
      <c r="N104" s="48">
        <f t="shared" si="6"/>
        <v>-23.411643967457184</v>
      </c>
      <c r="P104" s="33"/>
    </row>
    <row r="105" spans="1:18" s="19" customFormat="1" ht="15" hidden="1" customHeight="1" x14ac:dyDescent="0.25">
      <c r="A105" s="51"/>
      <c r="B105" s="31"/>
      <c r="C105" s="22"/>
      <c r="D105" s="36">
        <f>IF(E105*F105&gt;0,0,1)</f>
        <v>1</v>
      </c>
      <c r="E105" s="38">
        <f>E94-D94</f>
        <v>0</v>
      </c>
      <c r="F105" s="38">
        <f>D94-F94</f>
        <v>0</v>
      </c>
      <c r="G105" s="56"/>
      <c r="H105" s="367" t="s">
        <v>724</v>
      </c>
      <c r="K105" s="266" t="s">
        <v>478</v>
      </c>
      <c r="L105" s="48">
        <f>100*(-1+(((100+D$73)/100)^L93))</f>
        <v>-10.112134034613451</v>
      </c>
      <c r="M105" s="48">
        <f t="shared" si="6"/>
        <v>-0.50125628933800348</v>
      </c>
      <c r="N105" s="48">
        <f t="shared" si="6"/>
        <v>-24.581163342540236</v>
      </c>
      <c r="P105" s="33"/>
    </row>
    <row r="106" spans="1:18" s="19" customFormat="1" ht="15" hidden="1" customHeight="1" x14ac:dyDescent="0.25">
      <c r="A106" s="51"/>
      <c r="B106" s="31"/>
      <c r="C106" s="22"/>
      <c r="D106" s="36"/>
      <c r="E106" s="38"/>
      <c r="F106" s="38"/>
      <c r="G106" s="56"/>
      <c r="H106" s="230"/>
      <c r="K106" s="266" t="s">
        <v>479</v>
      </c>
      <c r="L106" s="48">
        <f>100*(-1+(((100+D$73)/100)^L94))</f>
        <v>-4.1746469567756179</v>
      </c>
      <c r="M106" s="48">
        <f t="shared" si="6"/>
        <v>-0.50125628933800348</v>
      </c>
      <c r="N106" s="48">
        <f t="shared" si="6"/>
        <v>-11.128135385963855</v>
      </c>
      <c r="P106" s="33"/>
    </row>
    <row r="107" spans="1:18" s="19" customFormat="1" ht="15" hidden="1" customHeight="1" x14ac:dyDescent="0.25">
      <c r="A107" s="51"/>
      <c r="B107" s="31"/>
      <c r="C107" s="22"/>
      <c r="D107" s="400"/>
      <c r="E107" s="402"/>
      <c r="F107" s="402"/>
      <c r="G107" s="56"/>
      <c r="H107" s="230"/>
      <c r="K107" s="266" t="s">
        <v>490</v>
      </c>
      <c r="L107" s="268">
        <f>L104*$R$92+L105*$R$93+L106*$R$94</f>
        <v>-9.6525519287351855</v>
      </c>
      <c r="M107" s="268">
        <f>M104*$R$92+M105*$R$93+M106*$R$94</f>
        <v>-1.8173881446679032</v>
      </c>
      <c r="N107" s="268">
        <f>N104*$R$92+N105*$R$93+N106*$R$94</f>
        <v>-20.524117217006307</v>
      </c>
      <c r="P107" s="33"/>
    </row>
    <row r="108" spans="1:18" s="19" customFormat="1" ht="15" hidden="1" customHeight="1" x14ac:dyDescent="0.25">
      <c r="A108" s="51"/>
      <c r="B108" s="31"/>
      <c r="C108" s="22"/>
      <c r="D108" s="401"/>
      <c r="E108" s="401"/>
      <c r="F108" s="401"/>
      <c r="G108" s="56"/>
      <c r="H108" s="230"/>
      <c r="K108" s="266"/>
      <c r="L108" s="48"/>
      <c r="M108" s="137"/>
      <c r="P108" s="33"/>
    </row>
    <row r="109" spans="1:18" ht="3.95" customHeight="1" x14ac:dyDescent="0.25">
      <c r="A109" s="153"/>
      <c r="B109" s="18"/>
      <c r="D109" s="30"/>
      <c r="E109" s="30"/>
      <c r="F109" s="30"/>
      <c r="G109" s="53"/>
      <c r="H109" s="67"/>
      <c r="I109" s="20"/>
      <c r="J109" s="138"/>
      <c r="K109" s="138"/>
    </row>
    <row r="110" spans="1:18" ht="15" customHeight="1" x14ac:dyDescent="0.25">
      <c r="A110" s="149">
        <f>MAXA(A$34:A109)+1</f>
        <v>35</v>
      </c>
      <c r="C110" s="24" t="s">
        <v>102</v>
      </c>
      <c r="D110" s="514">
        <f>-D97*K37/1000000</f>
        <v>1.3364957316287756</v>
      </c>
      <c r="E110" s="515">
        <f>IF(COUNT(F71,E71)=2,-E97*K$37/1000000,D110)</f>
        <v>0.25163620107865764</v>
      </c>
      <c r="F110" s="515">
        <f>IF(COUNT(F71,E71)=2,-F97*K$37/1000000,D110)</f>
        <v>2.8417764813384343</v>
      </c>
      <c r="G110" s="305" t="str">
        <f>CONCATENATE(A110,"-",A113)</f>
        <v>35-38</v>
      </c>
      <c r="H110" s="813" t="s">
        <v>857</v>
      </c>
      <c r="I110" s="20"/>
      <c r="J110" s="39">
        <f>IF($D110&gt;0,$D110,0)</f>
        <v>1.3364957316287756</v>
      </c>
      <c r="K110" s="40">
        <f>IF($D110&lt;0,-$D110,0)</f>
        <v>0</v>
      </c>
      <c r="L110" s="39">
        <f>IF($F110&gt;0,$F110,0)</f>
        <v>2.8417764813384343</v>
      </c>
      <c r="M110" s="40">
        <f>IF($F110&lt;0,-$F110,0)</f>
        <v>0</v>
      </c>
      <c r="N110" s="39">
        <f>IF($E110&gt;0,$E110,0)</f>
        <v>0.25163620107865764</v>
      </c>
      <c r="O110" s="40">
        <f>IF($E110&lt;0,-$E110,0)</f>
        <v>0</v>
      </c>
    </row>
    <row r="111" spans="1:18" ht="15" customHeight="1" x14ac:dyDescent="0.25">
      <c r="A111" s="149">
        <f>MAXA(A$34:A110)+1</f>
        <v>36</v>
      </c>
      <c r="C111" s="24" t="s">
        <v>103</v>
      </c>
      <c r="D111" s="514">
        <f>-D99*K37/1000000</f>
        <v>0</v>
      </c>
      <c r="E111" s="515">
        <f>IF(COUNT(F72,E72)=2,-E99*K$37/1000000,D111)</f>
        <v>0</v>
      </c>
      <c r="F111" s="515">
        <f>IF(COUNT(F72,E72)=2,-F99*K$37/1000000,D111)</f>
        <v>0</v>
      </c>
      <c r="G111" s="53"/>
      <c r="H111" s="813"/>
      <c r="I111" s="20"/>
      <c r="J111" s="39">
        <f>IF($D111&gt;0,$D111,0)</f>
        <v>0</v>
      </c>
      <c r="K111" s="40">
        <f>IF($D111&lt;0,-$D111,0)</f>
        <v>0</v>
      </c>
      <c r="L111" s="39">
        <f>IF($F111&gt;0,$F111,0)</f>
        <v>0</v>
      </c>
      <c r="M111" s="40">
        <f>IF($F111&lt;0,-$F111,0)</f>
        <v>0</v>
      </c>
      <c r="N111" s="39">
        <f>IF($E111&gt;0,$E111,0)</f>
        <v>0</v>
      </c>
      <c r="O111" s="40">
        <f>IF($E111&lt;0,-$E111,0)</f>
        <v>0</v>
      </c>
    </row>
    <row r="112" spans="1:18" ht="15" customHeight="1" x14ac:dyDescent="0.25">
      <c r="A112" s="149">
        <f>MAXA(A$34:A111)+1</f>
        <v>37</v>
      </c>
      <c r="C112" s="24" t="s">
        <v>104</v>
      </c>
      <c r="D112" s="514">
        <f>-D101*K37/1000000</f>
        <v>0</v>
      </c>
      <c r="E112" s="515">
        <f>IF(COUNT(F73,E73)=2,-E101*K$37/1000000,D112)</f>
        <v>0</v>
      </c>
      <c r="F112" s="515">
        <f>IF(COUNT(F73,E73)=2,-F101*K$37/1000000,D112)</f>
        <v>0</v>
      </c>
      <c r="G112" s="53"/>
      <c r="H112" s="813"/>
      <c r="I112" s="20"/>
      <c r="J112" s="39">
        <f>IF($D112&gt;0,$D112,0)</f>
        <v>0</v>
      </c>
      <c r="K112" s="40">
        <f>IF($D112&lt;0,-$D112,0)</f>
        <v>0</v>
      </c>
      <c r="L112" s="39">
        <f>IF($F112&gt;0,$F112,0)</f>
        <v>0</v>
      </c>
      <c r="M112" s="40">
        <f>IF($F112&lt;0,-$F112,0)</f>
        <v>0</v>
      </c>
      <c r="N112" s="39">
        <f>IF($E112&gt;0,$E112,0)</f>
        <v>0</v>
      </c>
      <c r="O112" s="40">
        <f>IF($E112&lt;0,-$E112,0)</f>
        <v>0</v>
      </c>
    </row>
    <row r="113" spans="1:15" ht="15" customHeight="1" x14ac:dyDescent="0.25">
      <c r="A113" s="149">
        <f>MAXA(A$34:A112)+1</f>
        <v>38</v>
      </c>
      <c r="C113" s="24" t="s">
        <v>105</v>
      </c>
      <c r="D113" s="514">
        <f>SUM(D110:D112)</f>
        <v>1.3364957316287756</v>
      </c>
      <c r="E113" s="515">
        <f>SUM(E110:E112)</f>
        <v>0.25163620107865764</v>
      </c>
      <c r="F113" s="515">
        <f>SUM(F110:F112)</f>
        <v>2.8417764813384343</v>
      </c>
      <c r="G113" s="53"/>
      <c r="H113" s="813"/>
      <c r="I113" s="20"/>
      <c r="J113" s="39">
        <f>IF($D113&gt;0,$D113,0)</f>
        <v>1.3364957316287756</v>
      </c>
      <c r="K113" s="40">
        <f>IF($D113&lt;0,-$D113,0)</f>
        <v>0</v>
      </c>
      <c r="L113" s="39">
        <f>IF($E113&gt;0,$E113,0)</f>
        <v>0.25163620107865764</v>
      </c>
      <c r="M113" s="40">
        <f>IF($E113&lt;0,-$E113,0)</f>
        <v>0</v>
      </c>
      <c r="N113" s="39">
        <f>IF($F113&gt;0,$F113,0)</f>
        <v>2.8417764813384343</v>
      </c>
      <c r="O113" s="40">
        <f>IF($F113&lt;0,-$F113,0)</f>
        <v>0</v>
      </c>
    </row>
    <row r="114" spans="1:15" ht="15" customHeight="1" x14ac:dyDescent="0.25">
      <c r="A114" s="153"/>
      <c r="B114" s="145" t="s">
        <v>325</v>
      </c>
      <c r="D114" s="50"/>
      <c r="E114" s="50"/>
      <c r="F114" s="50"/>
      <c r="G114" s="53"/>
      <c r="I114" s="20"/>
      <c r="J114" s="241"/>
      <c r="K114" s="241"/>
      <c r="L114" s="159"/>
      <c r="M114" s="159"/>
      <c r="N114" s="159"/>
      <c r="O114" s="159"/>
    </row>
    <row r="115" spans="1:15" s="19" customFormat="1" ht="15" hidden="1" customHeight="1" x14ac:dyDescent="0.25">
      <c r="A115" s="51"/>
      <c r="B115" s="132"/>
      <c r="C115" s="22" t="s">
        <v>56</v>
      </c>
      <c r="D115" s="158" t="s">
        <v>178</v>
      </c>
      <c r="E115" s="158" t="s">
        <v>179</v>
      </c>
      <c r="F115" s="158" t="s">
        <v>318</v>
      </c>
      <c r="G115" s="57"/>
      <c r="J115" s="241"/>
      <c r="K115" s="241"/>
      <c r="L115" s="159"/>
      <c r="M115" s="159"/>
      <c r="N115" s="159"/>
      <c r="O115" s="159"/>
    </row>
    <row r="116" spans="1:15" s="19" customFormat="1" ht="15" hidden="1" customHeight="1" x14ac:dyDescent="0.25">
      <c r="A116" s="51"/>
      <c r="B116" s="132"/>
      <c r="C116" s="22" t="s">
        <v>56</v>
      </c>
      <c r="D116" s="159">
        <f>((D75-E75)/100)*($D$46/1000)*$D$47*365*($D51/100)*'Data-beregninger'!$B$71/100000</f>
        <v>0</v>
      </c>
      <c r="E116" s="159">
        <f>((D75-E75)/100)*($D$46/1000)*$D$47*365*($D51/100)*'Data-beregninger'!$B$69/100000</f>
        <v>0</v>
      </c>
      <c r="F116" s="160">
        <f>E116-D116</f>
        <v>0</v>
      </c>
      <c r="G116" s="57"/>
      <c r="H116" s="19" t="s">
        <v>319</v>
      </c>
      <c r="J116" s="241"/>
      <c r="K116" s="241"/>
      <c r="L116" s="159"/>
      <c r="M116" s="159"/>
      <c r="N116" s="159"/>
      <c r="O116" s="159"/>
    </row>
    <row r="117" spans="1:15" s="19" customFormat="1" ht="15" hidden="1" customHeight="1" x14ac:dyDescent="0.25">
      <c r="A117" s="51"/>
      <c r="B117" s="132"/>
      <c r="C117" s="22" t="s">
        <v>56</v>
      </c>
      <c r="D117" s="159">
        <f>((D76-E76)/100)*($D$46/1000)*$D$47*365*($D52/100)*'Data-beregninger'!$B$71/100000</f>
        <v>0</v>
      </c>
      <c r="E117" s="159">
        <f>((D76-E76)/100)*($D$46/1000)*$D$47*365*($D52/100)*'Data-beregninger'!$B$69/100000</f>
        <v>0</v>
      </c>
      <c r="F117" s="160">
        <f>E117-D117</f>
        <v>0</v>
      </c>
      <c r="G117" s="57"/>
      <c r="H117" s="19" t="s">
        <v>319</v>
      </c>
      <c r="J117" s="241"/>
      <c r="K117" s="241"/>
      <c r="L117" s="159"/>
      <c r="M117" s="159"/>
      <c r="N117" s="159"/>
      <c r="O117" s="159"/>
    </row>
    <row r="118" spans="1:15" s="19" customFormat="1" ht="15" hidden="1" customHeight="1" x14ac:dyDescent="0.25">
      <c r="A118" s="51"/>
      <c r="B118" s="132"/>
      <c r="C118" s="22" t="s">
        <v>56</v>
      </c>
      <c r="D118" s="159">
        <f>((D77-E77)/100)*($D$46/1000)*$D$47*365*($D53/100)*'Data-beregninger'!$B$71/100000</f>
        <v>0</v>
      </c>
      <c r="E118" s="159">
        <f>((D77-E77)/100)*($D$46/1000)*$D$47*365*($D53/100)*'Data-beregninger'!$B$69/100000</f>
        <v>0</v>
      </c>
      <c r="F118" s="160">
        <f>E118-D118</f>
        <v>0</v>
      </c>
      <c r="G118" s="57"/>
      <c r="H118" s="19" t="s">
        <v>319</v>
      </c>
      <c r="J118" s="241"/>
      <c r="K118" s="241"/>
      <c r="L118" s="159"/>
      <c r="M118" s="159"/>
      <c r="N118" s="159"/>
      <c r="O118" s="159"/>
    </row>
    <row r="119" spans="1:15" ht="15" customHeight="1" x14ac:dyDescent="0.25">
      <c r="A119" s="149">
        <f>MAXA(A$34:A118)+1</f>
        <v>39</v>
      </c>
      <c r="B119" s="145"/>
      <c r="C119" s="24" t="s">
        <v>320</v>
      </c>
      <c r="D119" s="520">
        <f>IF($E15="Ja",F116,0)</f>
        <v>0</v>
      </c>
      <c r="E119" s="521">
        <f>IF($E15="Ja",$D119+(ABS($D119)*0.25),0)</f>
        <v>0</v>
      </c>
      <c r="F119" s="521">
        <f>IF($E15="Ja",$D119-(ABS($D119)*0.25),0)</f>
        <v>0</v>
      </c>
      <c r="G119" s="305" t="str">
        <f>CONCATENATE(A119,"-",A121)</f>
        <v>39-41</v>
      </c>
      <c r="H119" s="813" t="s">
        <v>730</v>
      </c>
      <c r="I119" s="18"/>
      <c r="J119" s="242"/>
      <c r="K119" s="242"/>
      <c r="L119" s="243"/>
      <c r="M119" s="243"/>
      <c r="N119" s="243"/>
      <c r="O119" s="243"/>
    </row>
    <row r="120" spans="1:15" ht="15" customHeight="1" x14ac:dyDescent="0.25">
      <c r="A120" s="149">
        <f>MAXA(A$34:A119)+1</f>
        <v>40</v>
      </c>
      <c r="B120" s="145"/>
      <c r="C120" s="24" t="s">
        <v>321</v>
      </c>
      <c r="D120" s="520">
        <f>IF($E16="Ja",F117,0)</f>
        <v>0</v>
      </c>
      <c r="E120" s="521">
        <f>IF($E16="Ja",$D120+(ABS($D120)*0.25),0)</f>
        <v>0</v>
      </c>
      <c r="F120" s="521">
        <f>IF($E16="Ja",$D120-(ABS($D120)*0.25),0)</f>
        <v>0</v>
      </c>
      <c r="G120" s="53"/>
      <c r="H120" s="813"/>
      <c r="I120" s="18"/>
      <c r="J120" s="242"/>
      <c r="K120" s="242"/>
      <c r="L120" s="243"/>
      <c r="M120" s="243"/>
      <c r="N120" s="243"/>
      <c r="O120" s="243"/>
    </row>
    <row r="121" spans="1:15" ht="15" customHeight="1" x14ac:dyDescent="0.25">
      <c r="A121" s="149">
        <f>MAXA(A$34:A120)+1</f>
        <v>41</v>
      </c>
      <c r="B121" s="145"/>
      <c r="C121" s="24" t="s">
        <v>322</v>
      </c>
      <c r="D121" s="520">
        <f>IF($E17="Ja",F118,0)</f>
        <v>0</v>
      </c>
      <c r="E121" s="521">
        <f>IF($E17="Ja",$D121+(ABS($D121)*0.25),0)</f>
        <v>0</v>
      </c>
      <c r="F121" s="521">
        <f>IF($E17="Ja",$D121-(ABS($D121)*0.25),0)</f>
        <v>0</v>
      </c>
      <c r="G121" s="53"/>
      <c r="I121" s="18"/>
      <c r="J121" s="242"/>
      <c r="K121" s="242"/>
      <c r="L121" s="243"/>
      <c r="M121" s="243"/>
      <c r="N121" s="243"/>
      <c r="O121" s="243"/>
    </row>
    <row r="122" spans="1:15" ht="3.95" customHeight="1" x14ac:dyDescent="0.25">
      <c r="A122" s="153"/>
      <c r="B122" s="18"/>
      <c r="D122" s="30"/>
      <c r="E122" s="30"/>
      <c r="F122" s="30"/>
      <c r="G122" s="53"/>
      <c r="H122" s="28"/>
      <c r="I122" s="20"/>
      <c r="J122" s="244"/>
      <c r="K122" s="243"/>
      <c r="L122" s="243"/>
      <c r="M122" s="243"/>
      <c r="N122" s="243"/>
      <c r="O122" s="243"/>
    </row>
    <row r="123" spans="1:15" x14ac:dyDescent="0.25">
      <c r="A123" s="149">
        <f>MAXA(A$34:A122)+1</f>
        <v>42</v>
      </c>
      <c r="C123" s="24" t="s">
        <v>290</v>
      </c>
      <c r="D123" s="514">
        <f>-D119*'Data-beregninger'!$D$100*$K$37/1000000</f>
        <v>0</v>
      </c>
      <c r="E123" s="515">
        <f>-E119*'Data-beregninger'!$D$100*$K$37/1000000</f>
        <v>0</v>
      </c>
      <c r="F123" s="515">
        <f>-F119*'Data-beregninger'!$D$100*$K$37/1000000</f>
        <v>0</v>
      </c>
      <c r="G123" s="305" t="str">
        <f>CONCATENATE(A123,"-",A126)</f>
        <v>42-45</v>
      </c>
      <c r="H123" s="813" t="s">
        <v>945</v>
      </c>
      <c r="I123" s="20"/>
      <c r="J123" s="39">
        <f>IF($D123&gt;0,$D123,0)</f>
        <v>0</v>
      </c>
      <c r="K123" s="40">
        <f>IF($D123&lt;0,-$D123,0)</f>
        <v>0</v>
      </c>
      <c r="L123" s="39">
        <f>IF($E123&gt;0,$E123,0)</f>
        <v>0</v>
      </c>
      <c r="M123" s="40">
        <f>IF($E123&lt;0,-$E123,0)</f>
        <v>0</v>
      </c>
      <c r="N123" s="39">
        <f>IF($F123&gt;0,$F123,0)</f>
        <v>0</v>
      </c>
      <c r="O123" s="40">
        <f>IF($F123&lt;0,-$F123,0)</f>
        <v>0</v>
      </c>
    </row>
    <row r="124" spans="1:15" x14ac:dyDescent="0.25">
      <c r="A124" s="149">
        <f>MAXA(A$34:A123)+1</f>
        <v>43</v>
      </c>
      <c r="C124" s="24" t="s">
        <v>291</v>
      </c>
      <c r="D124" s="514">
        <f>-D120*'Data-beregninger'!$D$100*$K$37/1000000</f>
        <v>0</v>
      </c>
      <c r="E124" s="515">
        <f>-E120*'Data-beregninger'!$D$100*$K$37/1000000</f>
        <v>0</v>
      </c>
      <c r="F124" s="515">
        <f>-F120*'Data-beregninger'!$D$100*$K$37/1000000</f>
        <v>0</v>
      </c>
      <c r="G124" s="53"/>
      <c r="H124" s="813"/>
      <c r="I124" s="20"/>
      <c r="J124" s="39">
        <f>IF($D124&gt;0,$D124,0)</f>
        <v>0</v>
      </c>
      <c r="K124" s="40">
        <f>IF($D124&lt;0,-$D124,0)</f>
        <v>0</v>
      </c>
      <c r="L124" s="39">
        <f>IF($E124&gt;0,$E124,0)</f>
        <v>0</v>
      </c>
      <c r="M124" s="40">
        <f>IF($E124&lt;0,-$E124,0)</f>
        <v>0</v>
      </c>
      <c r="N124" s="39">
        <f>IF($F124&gt;0,$F124,0)</f>
        <v>0</v>
      </c>
      <c r="O124" s="40">
        <f>IF($F124&lt;0,-$F124,0)</f>
        <v>0</v>
      </c>
    </row>
    <row r="125" spans="1:15" x14ac:dyDescent="0.25">
      <c r="A125" s="149">
        <f>MAXA(A$34:A124)+1</f>
        <v>44</v>
      </c>
      <c r="C125" s="24" t="s">
        <v>292</v>
      </c>
      <c r="D125" s="514">
        <f>-D121*'Data-beregninger'!$D$100*$K$37/1000000</f>
        <v>0</v>
      </c>
      <c r="E125" s="515">
        <f>-E121*'Data-beregninger'!$D$100*$K$37/1000000</f>
        <v>0</v>
      </c>
      <c r="F125" s="515">
        <f>-F121*'Data-beregninger'!$D$100*$K$37/1000000</f>
        <v>0</v>
      </c>
      <c r="G125" s="53"/>
      <c r="H125" s="813"/>
      <c r="I125" s="20"/>
      <c r="J125" s="39">
        <f>IF($D125&gt;0,$D125,0)</f>
        <v>0</v>
      </c>
      <c r="K125" s="40">
        <f>IF($D125&lt;0,-$D125,0)</f>
        <v>0</v>
      </c>
      <c r="L125" s="39">
        <f>IF($E125&gt;0,$E125,0)</f>
        <v>0</v>
      </c>
      <c r="M125" s="40">
        <f>IF($E125&lt;0,-$E125,0)</f>
        <v>0</v>
      </c>
      <c r="N125" s="39">
        <f>IF($F125&gt;0,$F125,0)</f>
        <v>0</v>
      </c>
      <c r="O125" s="40">
        <f>IF($F125&lt;0,-$F125,0)</f>
        <v>0</v>
      </c>
    </row>
    <row r="126" spans="1:15" x14ac:dyDescent="0.25">
      <c r="A126" s="149">
        <f>MAXA(A$34:A125)+1</f>
        <v>45</v>
      </c>
      <c r="C126" s="24" t="s">
        <v>293</v>
      </c>
      <c r="D126" s="514">
        <f>SUM(D123:D125)</f>
        <v>0</v>
      </c>
      <c r="E126" s="515">
        <f>SUM(E123:E125)</f>
        <v>0</v>
      </c>
      <c r="F126" s="515">
        <f>SUM(F123:F125)</f>
        <v>0</v>
      </c>
      <c r="G126" s="53"/>
      <c r="H126" s="813"/>
      <c r="I126" s="20"/>
      <c r="J126" s="39">
        <f>IF($D126&gt;0,$D126,0)</f>
        <v>0</v>
      </c>
      <c r="K126" s="40">
        <f>IF($D126&lt;0,-$D126,0)</f>
        <v>0</v>
      </c>
      <c r="L126" s="39">
        <f>IF($E126&gt;0,$E126,0)</f>
        <v>0</v>
      </c>
      <c r="M126" s="40">
        <f>IF($E126&lt;0,-$E126,0)</f>
        <v>0</v>
      </c>
      <c r="N126" s="39">
        <f>IF($F126&gt;0,$F126,0)</f>
        <v>0</v>
      </c>
      <c r="O126" s="40">
        <f>IF($F126&lt;0,-$F126,0)</f>
        <v>0</v>
      </c>
    </row>
    <row r="127" spans="1:15" ht="15.75" x14ac:dyDescent="0.25">
      <c r="A127" s="153"/>
      <c r="B127" s="145" t="s">
        <v>126</v>
      </c>
      <c r="D127" s="30"/>
      <c r="E127" s="30"/>
      <c r="F127" s="30"/>
      <c r="G127" s="53"/>
      <c r="H127" s="28"/>
      <c r="I127" s="20"/>
      <c r="J127" s="241" t="s">
        <v>45</v>
      </c>
      <c r="K127" s="241" t="s">
        <v>300</v>
      </c>
      <c r="L127" s="241" t="s">
        <v>87</v>
      </c>
      <c r="M127" s="241" t="s">
        <v>86</v>
      </c>
      <c r="N127" s="159"/>
      <c r="O127" s="159"/>
    </row>
    <row r="128" spans="1:15" x14ac:dyDescent="0.25">
      <c r="A128" s="149">
        <f>MAXA(A$34:A127)+1</f>
        <v>46</v>
      </c>
      <c r="C128" s="24" t="s">
        <v>83</v>
      </c>
      <c r="D128" s="522">
        <f>IF($F15="ja",K128-$J128,0)</f>
        <v>2.0850225877447004E-2</v>
      </c>
      <c r="E128" s="523">
        <f>IF($F15="ja",IF(COUNT(F71,E71)=2,L128-$J128,""),0)</f>
        <v>3.5481963335304623E-2</v>
      </c>
      <c r="F128" s="523">
        <f>IF($F15="ja",IF(COUNT(F71,E71)=2,M128-$J128,""),0)</f>
        <v>6.8096697310180421E-3</v>
      </c>
      <c r="G128" s="305" t="str">
        <f>CONCATENATE(A128,"-",A130)</f>
        <v>46-48</v>
      </c>
      <c r="H128" s="813" t="s">
        <v>138</v>
      </c>
      <c r="I128" s="20"/>
      <c r="J128" s="241">
        <f>(D$46/(D61*1000))*60</f>
        <v>0.6741573033707865</v>
      </c>
      <c r="K128" s="241">
        <f>(D46/(D61*((100+D71)/100)*1000))*60</f>
        <v>0.6950075292482335</v>
      </c>
      <c r="L128" s="241">
        <f>(D46/(D61*((100+F71)/100)*1000))*60</f>
        <v>0.70963926670609112</v>
      </c>
      <c r="M128" s="241">
        <f>(D46/(D61*((100+E71)/100)*1000))*60</f>
        <v>0.68096697310180454</v>
      </c>
      <c r="N128" s="159"/>
      <c r="O128" s="159"/>
    </row>
    <row r="129" spans="1:15" x14ac:dyDescent="0.25">
      <c r="A129" s="149">
        <f>MAXA(A$34:A128)+1</f>
        <v>47</v>
      </c>
      <c r="C129" s="24" t="s">
        <v>84</v>
      </c>
      <c r="D129" s="522">
        <f>IF($F16="ja",K129-J129,0)</f>
        <v>0</v>
      </c>
      <c r="E129" s="523">
        <f>IF($F16="ja",IF(COUNT(F72,E72)=2,L129-$J129,""),0)</f>
        <v>0</v>
      </c>
      <c r="F129" s="523">
        <f>IF($F16="ja",IF(COUNT(F72,E72)=2,M129-$J129,""),0)</f>
        <v>0</v>
      </c>
      <c r="G129" s="53"/>
      <c r="H129" s="813"/>
      <c r="I129" s="20"/>
      <c r="J129" s="241">
        <f>(D$46/(D62*1000))*60</f>
        <v>0.75</v>
      </c>
      <c r="K129" s="241">
        <f>(D46/(D62*((100+D72)/100)*1000))*60</f>
        <v>0.77319587628865971</v>
      </c>
      <c r="L129" s="241">
        <f>(D46/(D62*((100+F72)/100)*1000))*60</f>
        <v>0.78947368421052633</v>
      </c>
      <c r="M129" s="241">
        <f>(D46/(D62*((100+E72)/100)*1000))*60</f>
        <v>0.75757575757575757</v>
      </c>
      <c r="N129" s="159"/>
      <c r="O129" s="159"/>
    </row>
    <row r="130" spans="1:15" x14ac:dyDescent="0.25">
      <c r="A130" s="149">
        <f>MAXA(A$34:A129)+1</f>
        <v>48</v>
      </c>
      <c r="C130" s="24" t="s">
        <v>85</v>
      </c>
      <c r="D130" s="522">
        <f>IF($F17="ja",K130-J130,0)</f>
        <v>0</v>
      </c>
      <c r="E130" s="523">
        <f>IF($F17="ja",IF(COUNT(F73,E73)=2,L130-$J130,""),0)</f>
        <v>0</v>
      </c>
      <c r="F130" s="523">
        <f>IF($F17="ja",IF(COUNT(F73,E73)=2,M130-$J130,""),0)</f>
        <v>0</v>
      </c>
      <c r="G130" s="53"/>
      <c r="H130" s="813"/>
      <c r="I130" s="20"/>
      <c r="J130" s="241">
        <f>(D$46/(D63*1000))*60</f>
        <v>1</v>
      </c>
      <c r="K130" s="241">
        <f>(D46/(D63*((100+D73)/100)*1000))*60</f>
        <v>1.0309278350515465</v>
      </c>
      <c r="L130" s="241">
        <f>(D46/(D63*((100+F73)/100)*1000))*60</f>
        <v>1.0526315789473684</v>
      </c>
      <c r="M130" s="241">
        <f>(D46/(D63*((100+E73)/100)*1000))*60</f>
        <v>1.0101010101010102</v>
      </c>
      <c r="N130" s="159"/>
      <c r="O130" s="159"/>
    </row>
    <row r="131" spans="1:15" s="19" customFormat="1" hidden="1" x14ac:dyDescent="0.25">
      <c r="A131" s="153"/>
      <c r="B131" s="147"/>
      <c r="C131" s="152" t="s">
        <v>56</v>
      </c>
      <c r="D131" s="435">
        <f>(D128/60)*'Data-beregninger'!$C$57</f>
        <v>7.7319734205697335E-2</v>
      </c>
      <c r="E131" s="435">
        <f>(E128/60)*'Data-beregninger'!$C$57</f>
        <v>0.13157919680618696</v>
      </c>
      <c r="F131" s="435">
        <f>(F128/60)*'Data-beregninger'!$C$57</f>
        <v>2.5252573124419656E-2</v>
      </c>
      <c r="G131" s="57"/>
      <c r="H131" s="88" t="s">
        <v>297</v>
      </c>
      <c r="J131" s="245"/>
      <c r="K131" s="159"/>
      <c r="L131" s="159"/>
      <c r="M131" s="159"/>
      <c r="N131" s="159"/>
      <c r="O131" s="159"/>
    </row>
    <row r="132" spans="1:15" s="19" customFormat="1" hidden="1" x14ac:dyDescent="0.25">
      <c r="A132" s="153"/>
      <c r="B132" s="147"/>
      <c r="C132" s="152" t="s">
        <v>56</v>
      </c>
      <c r="D132" s="435">
        <f>(D129/60)*'Data-beregninger'!$C$57</f>
        <v>0</v>
      </c>
      <c r="E132" s="435">
        <f>(E129/60)*'Data-beregninger'!$C$57</f>
        <v>0</v>
      </c>
      <c r="F132" s="435">
        <f>(F129/60)*'Data-beregninger'!$C$57</f>
        <v>0</v>
      </c>
      <c r="G132" s="57"/>
      <c r="H132" s="88" t="s">
        <v>297</v>
      </c>
      <c r="J132" s="245"/>
      <c r="K132" s="159"/>
      <c r="L132" s="159"/>
      <c r="M132" s="159"/>
      <c r="N132" s="159"/>
      <c r="O132" s="159"/>
    </row>
    <row r="133" spans="1:15" s="19" customFormat="1" hidden="1" x14ac:dyDescent="0.25">
      <c r="A133" s="153"/>
      <c r="B133" s="147"/>
      <c r="C133" s="152" t="s">
        <v>56</v>
      </c>
      <c r="D133" s="435">
        <f>(D130/60)*'Data-beregninger'!$C$57</f>
        <v>0</v>
      </c>
      <c r="E133" s="435">
        <f>(E130/60)*'Data-beregninger'!$C$57</f>
        <v>0</v>
      </c>
      <c r="F133" s="435">
        <f>(F130/60)*'Data-beregninger'!$C$57</f>
        <v>0</v>
      </c>
      <c r="G133" s="57"/>
      <c r="H133" s="88" t="s">
        <v>297</v>
      </c>
      <c r="J133" s="245"/>
      <c r="K133" s="159"/>
      <c r="L133" s="159"/>
      <c r="M133" s="159"/>
      <c r="N133" s="159"/>
      <c r="O133" s="159"/>
    </row>
    <row r="134" spans="1:15" s="19" customFormat="1" hidden="1" x14ac:dyDescent="0.25">
      <c r="A134" s="153"/>
      <c r="B134" s="147"/>
      <c r="C134" s="152" t="s">
        <v>56</v>
      </c>
      <c r="D134" s="435">
        <f>(D128/60)*'Data-beregninger'!$C$58</f>
        <v>0.2566183135703341</v>
      </c>
      <c r="E134" s="435">
        <f>(E128/60)*'Data-beregninger'!$C$58</f>
        <v>0.43670134063723609</v>
      </c>
      <c r="F134" s="435">
        <f>(F128/60)*'Data-beregninger'!$C$58</f>
        <v>8.3811368405125916E-2</v>
      </c>
      <c r="G134" s="57"/>
      <c r="H134" s="88" t="s">
        <v>298</v>
      </c>
      <c r="J134" s="245"/>
      <c r="K134" s="159"/>
      <c r="L134" s="159"/>
      <c r="M134" s="159"/>
      <c r="N134" s="159"/>
      <c r="O134" s="159"/>
    </row>
    <row r="135" spans="1:15" s="19" customFormat="1" hidden="1" x14ac:dyDescent="0.25">
      <c r="A135" s="153"/>
      <c r="B135" s="147"/>
      <c r="C135" s="152" t="s">
        <v>56</v>
      </c>
      <c r="D135" s="435">
        <f>(D129/60)*'Data-beregninger'!$C$58</f>
        <v>0</v>
      </c>
      <c r="E135" s="435">
        <f>(E129/60)*'Data-beregninger'!$C$58</f>
        <v>0</v>
      </c>
      <c r="F135" s="435">
        <f>(F129/60)*'Data-beregninger'!$C$58</f>
        <v>0</v>
      </c>
      <c r="G135" s="57"/>
      <c r="H135" s="88" t="s">
        <v>298</v>
      </c>
      <c r="J135" s="245"/>
      <c r="K135" s="159"/>
      <c r="L135" s="159"/>
      <c r="M135" s="159"/>
      <c r="N135" s="159"/>
      <c r="O135" s="159"/>
    </row>
    <row r="136" spans="1:15" s="19" customFormat="1" hidden="1" x14ac:dyDescent="0.25">
      <c r="A136" s="153"/>
      <c r="B136" s="147"/>
      <c r="C136" s="152" t="s">
        <v>56</v>
      </c>
      <c r="D136" s="435">
        <f>(D130/60)*'Data-beregninger'!$C$58</f>
        <v>0</v>
      </c>
      <c r="E136" s="435">
        <f>(E130/60)*'Data-beregninger'!$C$58</f>
        <v>0</v>
      </c>
      <c r="F136" s="435">
        <f>(F130/60)*'Data-beregninger'!$C$58</f>
        <v>0</v>
      </c>
      <c r="G136" s="57"/>
      <c r="H136" s="88" t="s">
        <v>298</v>
      </c>
      <c r="J136" s="245"/>
      <c r="K136" s="159"/>
      <c r="L136" s="159"/>
      <c r="M136" s="159"/>
      <c r="N136" s="159"/>
      <c r="O136" s="159"/>
    </row>
    <row r="137" spans="1:15" s="19" customFormat="1" hidden="1" x14ac:dyDescent="0.25">
      <c r="A137" s="153"/>
      <c r="B137" s="147"/>
      <c r="C137" s="152" t="s">
        <v>56</v>
      </c>
      <c r="D137" s="435">
        <f>(D128/60)*'Data-beregninger'!$C$59</f>
        <v>0.23160729479902695</v>
      </c>
      <c r="E137" s="435">
        <f>(E128/60)*'Data-beregninger'!$C$59</f>
        <v>0.39413872974571329</v>
      </c>
      <c r="F137" s="435">
        <f>(F128/60)*'Data-beregninger'!$C$59</f>
        <v>7.5642786516853883E-2</v>
      </c>
      <c r="G137" s="57"/>
      <c r="H137" s="88" t="s">
        <v>299</v>
      </c>
      <c r="J137" s="245"/>
      <c r="K137" s="159"/>
      <c r="L137" s="159"/>
      <c r="M137" s="159"/>
      <c r="N137" s="159"/>
      <c r="O137" s="159"/>
    </row>
    <row r="138" spans="1:15" s="19" customFormat="1" hidden="1" x14ac:dyDescent="0.25">
      <c r="A138" s="153"/>
      <c r="B138" s="147"/>
      <c r="C138" s="152" t="s">
        <v>56</v>
      </c>
      <c r="D138" s="435">
        <f>(D129/60)*'Data-beregninger'!$C$59</f>
        <v>0</v>
      </c>
      <c r="E138" s="435">
        <f>(E129/60)*'Data-beregninger'!$C$59</f>
        <v>0</v>
      </c>
      <c r="F138" s="435">
        <f>(F129/60)*'Data-beregninger'!$C$59</f>
        <v>0</v>
      </c>
      <c r="G138" s="57"/>
      <c r="H138" s="88" t="s">
        <v>299</v>
      </c>
      <c r="J138" s="245"/>
      <c r="K138" s="159"/>
      <c r="L138" s="159"/>
      <c r="M138" s="159"/>
      <c r="N138" s="159"/>
      <c r="O138" s="159"/>
    </row>
    <row r="139" spans="1:15" s="19" customFormat="1" hidden="1" x14ac:dyDescent="0.25">
      <c r="A139" s="153"/>
      <c r="B139" s="147"/>
      <c r="C139" s="152" t="s">
        <v>56</v>
      </c>
      <c r="D139" s="435">
        <f>(D130/60)*'Data-beregninger'!$C$59</f>
        <v>0</v>
      </c>
      <c r="E139" s="435">
        <f>(E130/60)*'Data-beregninger'!$C$59</f>
        <v>0</v>
      </c>
      <c r="F139" s="435">
        <f>(F130/60)*'Data-beregninger'!$C$59</f>
        <v>0</v>
      </c>
      <c r="G139" s="57"/>
      <c r="H139" s="88" t="s">
        <v>299</v>
      </c>
      <c r="J139" s="245"/>
      <c r="K139" s="159"/>
      <c r="L139" s="159"/>
      <c r="M139" s="159"/>
      <c r="N139" s="159"/>
      <c r="O139" s="159"/>
    </row>
    <row r="140" spans="1:15" s="19" customFormat="1" hidden="1" x14ac:dyDescent="0.25">
      <c r="A140" s="153"/>
      <c r="B140" s="147"/>
      <c r="C140" s="152" t="s">
        <v>56</v>
      </c>
      <c r="D140" s="434">
        <f t="shared" ref="D140:F142" si="7">D131*$D$47*365*((100-$D$48-$D$49)/100)*($D51/100)</f>
        <v>159170.40483584852</v>
      </c>
      <c r="E140" s="434">
        <f t="shared" si="7"/>
        <v>270868.93454521644</v>
      </c>
      <c r="F140" s="434">
        <f t="shared" si="7"/>
        <v>51984.947033930293</v>
      </c>
      <c r="G140" s="57"/>
      <c r="H140" s="88" t="s">
        <v>294</v>
      </c>
      <c r="J140" s="245"/>
      <c r="K140" s="159"/>
      <c r="L140" s="159"/>
      <c r="M140" s="159"/>
      <c r="N140" s="159"/>
      <c r="O140" s="159"/>
    </row>
    <row r="141" spans="1:15" s="19" customFormat="1" hidden="1" x14ac:dyDescent="0.25">
      <c r="A141" s="153"/>
      <c r="B141" s="147"/>
      <c r="C141" s="152" t="s">
        <v>56</v>
      </c>
      <c r="D141" s="434">
        <f t="shared" si="7"/>
        <v>0</v>
      </c>
      <c r="E141" s="434">
        <f t="shared" si="7"/>
        <v>0</v>
      </c>
      <c r="F141" s="434">
        <f t="shared" si="7"/>
        <v>0</v>
      </c>
      <c r="G141" s="57"/>
      <c r="H141" s="88" t="s">
        <v>294</v>
      </c>
      <c r="J141" s="245"/>
      <c r="K141" s="159"/>
      <c r="L141" s="159"/>
      <c r="M141" s="159"/>
      <c r="N141" s="159"/>
      <c r="O141" s="159"/>
    </row>
    <row r="142" spans="1:15" s="19" customFormat="1" hidden="1" x14ac:dyDescent="0.25">
      <c r="A142" s="153"/>
      <c r="B142" s="147"/>
      <c r="C142" s="152" t="s">
        <v>56</v>
      </c>
      <c r="D142" s="434">
        <f t="shared" si="7"/>
        <v>0</v>
      </c>
      <c r="E142" s="434">
        <f t="shared" si="7"/>
        <v>0</v>
      </c>
      <c r="F142" s="434">
        <f t="shared" si="7"/>
        <v>0</v>
      </c>
      <c r="G142" s="57"/>
      <c r="H142" s="88" t="s">
        <v>294</v>
      </c>
      <c r="J142" s="245"/>
      <c r="K142" s="159"/>
      <c r="L142" s="159"/>
      <c r="M142" s="159"/>
      <c r="N142" s="159"/>
      <c r="O142" s="159"/>
    </row>
    <row r="143" spans="1:15" s="19" customFormat="1" hidden="1" x14ac:dyDescent="0.25">
      <c r="A143" s="153"/>
      <c r="B143" s="147"/>
      <c r="C143" s="152" t="s">
        <v>56</v>
      </c>
      <c r="D143" s="434">
        <f t="shared" ref="D143:F145" si="8">D131*$D$47*365*($D$49/100)*($D51/100)</f>
        <v>1693.3021791047713</v>
      </c>
      <c r="E143" s="434">
        <f t="shared" si="8"/>
        <v>2881.5844100554946</v>
      </c>
      <c r="F143" s="434">
        <f t="shared" si="8"/>
        <v>553.0313514247905</v>
      </c>
      <c r="G143" s="57"/>
      <c r="H143" s="88" t="s">
        <v>295</v>
      </c>
      <c r="J143" s="245"/>
      <c r="K143" s="159"/>
      <c r="L143" s="159"/>
      <c r="M143" s="159"/>
      <c r="N143" s="159"/>
      <c r="O143" s="159"/>
    </row>
    <row r="144" spans="1:15" s="19" customFormat="1" hidden="1" x14ac:dyDescent="0.25">
      <c r="A144" s="153"/>
      <c r="B144" s="147"/>
      <c r="C144" s="152" t="s">
        <v>56</v>
      </c>
      <c r="D144" s="434">
        <f t="shared" si="8"/>
        <v>0</v>
      </c>
      <c r="E144" s="434">
        <f t="shared" si="8"/>
        <v>0</v>
      </c>
      <c r="F144" s="434">
        <f t="shared" si="8"/>
        <v>0</v>
      </c>
      <c r="G144" s="57"/>
      <c r="H144" s="88" t="s">
        <v>295</v>
      </c>
      <c r="J144" s="245"/>
      <c r="K144" s="159"/>
      <c r="L144" s="159"/>
      <c r="M144" s="159"/>
      <c r="N144" s="159"/>
      <c r="O144" s="159"/>
    </row>
    <row r="145" spans="1:15" s="19" customFormat="1" hidden="1" x14ac:dyDescent="0.25">
      <c r="A145" s="153"/>
      <c r="B145" s="147"/>
      <c r="C145" s="152" t="s">
        <v>56</v>
      </c>
      <c r="D145" s="434">
        <f t="shared" si="8"/>
        <v>0</v>
      </c>
      <c r="E145" s="434">
        <f t="shared" si="8"/>
        <v>0</v>
      </c>
      <c r="F145" s="434">
        <f t="shared" si="8"/>
        <v>0</v>
      </c>
      <c r="G145" s="57"/>
      <c r="H145" s="88" t="s">
        <v>295</v>
      </c>
      <c r="J145" s="245"/>
      <c r="K145" s="159"/>
      <c r="L145" s="159"/>
      <c r="M145" s="159"/>
      <c r="N145" s="159"/>
      <c r="O145" s="159"/>
    </row>
    <row r="146" spans="1:15" s="19" customFormat="1" hidden="1" x14ac:dyDescent="0.25">
      <c r="A146" s="153"/>
      <c r="B146" s="147"/>
      <c r="C146" s="152" t="s">
        <v>56</v>
      </c>
      <c r="D146" s="434">
        <f t="shared" ref="D146:F148" si="9">D131*$D$47*365*($D$48/100)*($D51/100)</f>
        <v>8466.5108955238557</v>
      </c>
      <c r="E146" s="434">
        <f t="shared" si="9"/>
        <v>14407.922050277471</v>
      </c>
      <c r="F146" s="434">
        <f t="shared" si="9"/>
        <v>2765.1567571239525</v>
      </c>
      <c r="G146" s="57"/>
      <c r="H146" s="88" t="s">
        <v>296</v>
      </c>
      <c r="J146" s="245"/>
      <c r="K146" s="159"/>
      <c r="L146" s="159"/>
      <c r="M146" s="159"/>
      <c r="N146" s="159"/>
      <c r="O146" s="159"/>
    </row>
    <row r="147" spans="1:15" s="19" customFormat="1" hidden="1" x14ac:dyDescent="0.25">
      <c r="A147" s="153"/>
      <c r="B147" s="147"/>
      <c r="C147" s="152" t="s">
        <v>56</v>
      </c>
      <c r="D147" s="434">
        <f t="shared" si="9"/>
        <v>0</v>
      </c>
      <c r="E147" s="434">
        <f t="shared" si="9"/>
        <v>0</v>
      </c>
      <c r="F147" s="434">
        <f t="shared" si="9"/>
        <v>0</v>
      </c>
      <c r="G147" s="57"/>
      <c r="H147" s="88" t="s">
        <v>296</v>
      </c>
      <c r="J147" s="245"/>
      <c r="K147" s="159"/>
      <c r="L147" s="159"/>
      <c r="M147" s="159"/>
      <c r="N147" s="159"/>
      <c r="O147" s="159"/>
    </row>
    <row r="148" spans="1:15" s="19" customFormat="1" hidden="1" x14ac:dyDescent="0.25">
      <c r="A148" s="153"/>
      <c r="B148" s="147"/>
      <c r="C148" s="152" t="s">
        <v>56</v>
      </c>
      <c r="D148" s="434">
        <f t="shared" si="9"/>
        <v>0</v>
      </c>
      <c r="E148" s="434">
        <f t="shared" si="9"/>
        <v>0</v>
      </c>
      <c r="F148" s="434">
        <f t="shared" si="9"/>
        <v>0</v>
      </c>
      <c r="G148" s="57"/>
      <c r="H148" s="88" t="s">
        <v>296</v>
      </c>
      <c r="J148" s="245"/>
      <c r="K148" s="159"/>
      <c r="L148" s="159"/>
      <c r="M148" s="159"/>
      <c r="N148" s="159"/>
      <c r="O148" s="159"/>
    </row>
    <row r="149" spans="1:15" ht="3.95" customHeight="1" x14ac:dyDescent="0.25">
      <c r="A149" s="153"/>
      <c r="B149" s="18"/>
      <c r="D149" s="30"/>
      <c r="E149" s="30"/>
      <c r="F149" s="30"/>
      <c r="G149" s="53"/>
      <c r="H149" s="28"/>
      <c r="I149" s="20"/>
      <c r="J149" s="244"/>
      <c r="K149" s="243"/>
      <c r="L149" s="243"/>
      <c r="M149" s="243"/>
      <c r="N149" s="243"/>
      <c r="O149" s="243"/>
    </row>
    <row r="150" spans="1:15" ht="15" customHeight="1" x14ac:dyDescent="0.25">
      <c r="A150" s="149">
        <f>MAXA(A$34:A148)+1</f>
        <v>49</v>
      </c>
      <c r="C150" s="24" t="s">
        <v>98</v>
      </c>
      <c r="D150" s="514">
        <f>-SUM(D140,D143,D146)*K37/1000000</f>
        <v>-1.6062866932952518</v>
      </c>
      <c r="E150" s="515">
        <f>IF(COUNT($F71,$E71)=2,-SUM(E140,E143,E146)*K37/1000000,$D150)</f>
        <v>-2.7335054254322766</v>
      </c>
      <c r="F150" s="515">
        <f>IF(COUNT($F71,$E71)=2,-SUM(F140,F143,F146)*K37/1000000,$D150)</f>
        <v>-0.52461215235568803</v>
      </c>
      <c r="G150" s="305" t="str">
        <f>CONCATENATE(A150,"-",A153)</f>
        <v>49-52</v>
      </c>
      <c r="H150" s="813" t="s">
        <v>858</v>
      </c>
      <c r="I150" s="20"/>
      <c r="J150" s="39">
        <f>IF($D150&gt;0,$D150,0)</f>
        <v>0</v>
      </c>
      <c r="K150" s="40">
        <f>IF($D150&lt;0,-$D150,0)</f>
        <v>1.6062866932952518</v>
      </c>
      <c r="L150" s="39">
        <f>IF($E150&gt;0,$E150,0)</f>
        <v>0</v>
      </c>
      <c r="M150" s="40">
        <f>IF($E150&lt;0,-$E150,0)</f>
        <v>2.7335054254322766</v>
      </c>
      <c r="N150" s="39">
        <f>IF($F150&gt;0,$F150,0)</f>
        <v>0</v>
      </c>
      <c r="O150" s="40">
        <f>IF($F150&lt;0,-$F150,0)</f>
        <v>0.52461215235568803</v>
      </c>
    </row>
    <row r="151" spans="1:15" x14ac:dyDescent="0.25">
      <c r="A151" s="149">
        <f>MAXA(A$34:A150)+1</f>
        <v>50</v>
      </c>
      <c r="C151" s="24" t="s">
        <v>99</v>
      </c>
      <c r="D151" s="514">
        <f>-SUM(D141,D144,D147)*K37/1000000</f>
        <v>0</v>
      </c>
      <c r="E151" s="515">
        <f>IF(COUNT($F72,$E72)=2,-SUM(E141,E144,E147)*K37/1000000,$D151)</f>
        <v>0</v>
      </c>
      <c r="F151" s="515">
        <f>IF(COUNT($F72,$E72)=2,-SUM(F141,F144,F147)*K37/1000000,$D151)</f>
        <v>0</v>
      </c>
      <c r="G151" s="53"/>
      <c r="H151" s="813"/>
      <c r="I151" s="20"/>
      <c r="J151" s="39">
        <f>IF($D151&gt;0,$D151,0)</f>
        <v>0</v>
      </c>
      <c r="K151" s="40">
        <f>IF($D151&lt;0,-$D151,0)</f>
        <v>0</v>
      </c>
      <c r="L151" s="39">
        <f>IF($E151&gt;0,$E151,0)</f>
        <v>0</v>
      </c>
      <c r="M151" s="40">
        <f>IF($E151&lt;0,-$E151,0)</f>
        <v>0</v>
      </c>
      <c r="N151" s="39">
        <f>IF($F151&gt;0,$F151,0)</f>
        <v>0</v>
      </c>
      <c r="O151" s="40">
        <f>IF($F151&lt;0,-$F151,0)</f>
        <v>0</v>
      </c>
    </row>
    <row r="152" spans="1:15" x14ac:dyDescent="0.25">
      <c r="A152" s="149">
        <f>MAXA(A$34:A151)+1</f>
        <v>51</v>
      </c>
      <c r="C152" s="24" t="s">
        <v>100</v>
      </c>
      <c r="D152" s="514">
        <f>-SUM(D142,D145,D148)*K37/1000000</f>
        <v>0</v>
      </c>
      <c r="E152" s="515">
        <f>IF(COUNT($F73,$E73)=2,-SUM(E142,E145,E148)*K37/1000000,$D152)</f>
        <v>0</v>
      </c>
      <c r="F152" s="515">
        <f>IF(COUNT($F73,$E73)=2,-SUM(F142,F145,F148)*K37/1000000,$D152)</f>
        <v>0</v>
      </c>
      <c r="G152" s="53"/>
      <c r="H152" s="813"/>
      <c r="I152" s="20"/>
      <c r="J152" s="39">
        <f>IF($D152&gt;0,$D152,0)</f>
        <v>0</v>
      </c>
      <c r="K152" s="40">
        <f>IF($D152&lt;0,-$D152,0)</f>
        <v>0</v>
      </c>
      <c r="L152" s="39">
        <f>IF($E152&gt;0,$E152,0)</f>
        <v>0</v>
      </c>
      <c r="M152" s="40">
        <f>IF($E152&lt;0,-$E152,0)</f>
        <v>0</v>
      </c>
      <c r="N152" s="39">
        <f>IF($F152&gt;0,$F152,0)</f>
        <v>0</v>
      </c>
      <c r="O152" s="40">
        <f>IF($F152&lt;0,-$F152,0)</f>
        <v>0</v>
      </c>
    </row>
    <row r="153" spans="1:15" x14ac:dyDescent="0.25">
      <c r="A153" s="149">
        <f>MAXA(A$34:A152)+1</f>
        <v>52</v>
      </c>
      <c r="C153" s="24" t="s">
        <v>101</v>
      </c>
      <c r="D153" s="514">
        <f>SUM(D150:D152)</f>
        <v>-1.6062866932952518</v>
      </c>
      <c r="E153" s="515">
        <f>SUM(E150:E152)</f>
        <v>-2.7335054254322766</v>
      </c>
      <c r="F153" s="515">
        <f>SUM(F150:F152)</f>
        <v>-0.52461215235568803</v>
      </c>
      <c r="G153" s="53"/>
      <c r="H153" s="813"/>
      <c r="I153" s="20"/>
      <c r="J153" s="39">
        <f>IF($D153&gt;0,$D153,0)</f>
        <v>0</v>
      </c>
      <c r="K153" s="40">
        <f>IF($D153&lt;0,-$D153,0)</f>
        <v>1.6062866932952518</v>
      </c>
      <c r="L153" s="39">
        <f>IF($E153&gt;0,$E153,0)</f>
        <v>0</v>
      </c>
      <c r="M153" s="40">
        <f>IF($E153&lt;0,-$E153,0)</f>
        <v>2.7335054254322766</v>
      </c>
      <c r="N153" s="39">
        <f>IF($F153&gt;0,$F153,0)</f>
        <v>0</v>
      </c>
      <c r="O153" s="40">
        <f>IF($F153&lt;0,-$F153,0)</f>
        <v>0.52461215235568803</v>
      </c>
    </row>
    <row r="154" spans="1:15" ht="18.75" x14ac:dyDescent="0.25">
      <c r="A154" s="144" t="s">
        <v>11</v>
      </c>
      <c r="D154" s="20"/>
      <c r="E154" s="18"/>
      <c r="F154" s="18"/>
      <c r="G154" s="53"/>
      <c r="H154" s="21"/>
      <c r="I154" s="20"/>
      <c r="J154" s="244"/>
      <c r="K154" s="243"/>
      <c r="L154" s="243"/>
      <c r="M154" s="243"/>
      <c r="N154" s="243"/>
      <c r="O154" s="243"/>
    </row>
    <row r="155" spans="1:15" ht="15" customHeight="1" x14ac:dyDescent="0.25">
      <c r="A155" s="149">
        <f>MAXA(A$34:A154)+1</f>
        <v>53</v>
      </c>
      <c r="C155" s="24" t="s">
        <v>59</v>
      </c>
      <c r="D155" s="524">
        <f>(D41*D$40+E41*E$40+F41*F$40)/1000000</f>
        <v>0.75</v>
      </c>
      <c r="E155" s="18" t="s">
        <v>128</v>
      </c>
      <c r="F155" s="42"/>
      <c r="G155" s="305" t="str">
        <f>CONCATENATE(A155,"-",A157)</f>
        <v>53-55</v>
      </c>
      <c r="H155" s="813" t="s">
        <v>859</v>
      </c>
      <c r="I155" s="20"/>
      <c r="J155" s="244"/>
      <c r="K155" s="243"/>
      <c r="L155" s="243"/>
      <c r="M155" s="243"/>
      <c r="N155" s="243"/>
      <c r="O155" s="243"/>
    </row>
    <row r="156" spans="1:15" x14ac:dyDescent="0.25">
      <c r="A156" s="149">
        <f>MAXA(A$34:A155)+1</f>
        <v>54</v>
      </c>
      <c r="C156" s="24" t="s">
        <v>113</v>
      </c>
      <c r="D156" s="524">
        <f>(D42*D$40+E42*E$40+F42*F$40)*D37/1000000</f>
        <v>0.60831718345162777</v>
      </c>
      <c r="E156" s="18" t="s">
        <v>128</v>
      </c>
      <c r="F156" s="42"/>
      <c r="G156" s="53"/>
      <c r="H156" s="812"/>
      <c r="I156" s="20"/>
      <c r="J156" s="244"/>
      <c r="K156" s="243"/>
      <c r="L156" s="243"/>
      <c r="M156" s="243"/>
      <c r="N156" s="243"/>
      <c r="O156" s="243"/>
    </row>
    <row r="157" spans="1:15" x14ac:dyDescent="0.25">
      <c r="A157" s="149">
        <f>MAXA(A$34:A156)+1</f>
        <v>55</v>
      </c>
      <c r="C157" s="24" t="s">
        <v>60</v>
      </c>
      <c r="D157" s="524">
        <f>D155+D156</f>
        <v>1.3583171834516277</v>
      </c>
      <c r="E157" s="18" t="s">
        <v>128</v>
      </c>
      <c r="F157" s="18"/>
      <c r="G157" s="53"/>
      <c r="H157" s="812"/>
      <c r="I157" s="20"/>
      <c r="J157" s="244"/>
      <c r="K157" s="243"/>
      <c r="L157" s="243"/>
      <c r="M157" s="243"/>
      <c r="N157" s="243"/>
      <c r="O157" s="243"/>
    </row>
    <row r="158" spans="1:15" x14ac:dyDescent="0.25">
      <c r="A158" s="149">
        <f>MAXA(A$34:A157)+1</f>
        <v>56</v>
      </c>
      <c r="C158" s="24" t="s">
        <v>114</v>
      </c>
      <c r="D158" s="514">
        <f>SUM(D155:D156)*(100+D36)/100</f>
        <v>1.6299806201419531</v>
      </c>
      <c r="E158" s="18" t="s">
        <v>128</v>
      </c>
      <c r="F158" s="18"/>
      <c r="G158" s="53">
        <f>A158</f>
        <v>56</v>
      </c>
      <c r="H158" s="18" t="s">
        <v>861</v>
      </c>
      <c r="I158" s="20"/>
      <c r="J158" s="39">
        <f>IF($D158&lt;0,-$D158,0)</f>
        <v>0</v>
      </c>
      <c r="K158" s="40">
        <f>IF($D158&gt;0,$D158,0)</f>
        <v>1.6299806201419531</v>
      </c>
      <c r="L158" s="39"/>
      <c r="M158" s="40"/>
      <c r="N158" s="39"/>
      <c r="O158" s="40"/>
    </row>
    <row r="159" spans="1:15" ht="18.75" x14ac:dyDescent="0.25">
      <c r="A159" s="144" t="s">
        <v>117</v>
      </c>
      <c r="D159" s="20"/>
      <c r="E159" s="20"/>
      <c r="F159" s="20"/>
      <c r="G159" s="53"/>
      <c r="H159" s="21"/>
      <c r="I159" s="20"/>
    </row>
    <row r="160" spans="1:15" x14ac:dyDescent="0.25">
      <c r="A160" s="149">
        <f>MAXA(A$34:A159)+1</f>
        <v>57</v>
      </c>
      <c r="C160" s="24" t="s">
        <v>12</v>
      </c>
      <c r="D160" s="514">
        <f>SUM(D113,D126,D153)-$D158</f>
        <v>-1.8997715818084293</v>
      </c>
      <c r="E160" s="515">
        <f>SUM(E113,E126,E153)-D158</f>
        <v>-4.1118498444955716</v>
      </c>
      <c r="F160" s="515">
        <f>SUM(F113,F126,F153)-D158</f>
        <v>0.68718370884079327</v>
      </c>
      <c r="G160" s="53">
        <f>A160</f>
        <v>57</v>
      </c>
      <c r="H160" s="18" t="s">
        <v>860</v>
      </c>
      <c r="I160" s="20"/>
    </row>
    <row r="161" spans="1:15" x14ac:dyDescent="0.25">
      <c r="A161" s="149">
        <f>MAXA(A$34:A160)+1</f>
        <v>58</v>
      </c>
      <c r="C161" s="24" t="s">
        <v>14</v>
      </c>
      <c r="D161" s="514">
        <f>D160/D$158</f>
        <v>-1.1655178953250256</v>
      </c>
      <c r="E161" s="515">
        <f>E160/D$158</f>
        <v>-2.5226372594156827</v>
      </c>
      <c r="F161" s="515">
        <f>F160/D$158</f>
        <v>0.42159010993698026</v>
      </c>
      <c r="G161" s="53">
        <f>A161</f>
        <v>58</v>
      </c>
      <c r="H161" s="18" t="s">
        <v>52</v>
      </c>
      <c r="I161" s="20"/>
    </row>
    <row r="162" spans="1:15" x14ac:dyDescent="0.25">
      <c r="A162" s="149">
        <f>MAXA(A$34:A161)+1</f>
        <v>59</v>
      </c>
      <c r="C162" s="24" t="s">
        <v>13</v>
      </c>
      <c r="D162" s="514">
        <f>SUM(D113,D126,D153)/$D158</f>
        <v>-0.16551789532502567</v>
      </c>
      <c r="E162" s="515">
        <f>SUM(E113,E126,E153)/$D158</f>
        <v>-1.522637259415683</v>
      </c>
      <c r="F162" s="515">
        <f>SUM(F113,F126,F153)/$D158</f>
        <v>1.4215901099369803</v>
      </c>
      <c r="G162" s="53">
        <f>A162</f>
        <v>59</v>
      </c>
      <c r="H162" s="18" t="s">
        <v>168</v>
      </c>
      <c r="I162" s="20"/>
    </row>
    <row r="163" spans="1:15" x14ac:dyDescent="0.25">
      <c r="A163" s="149">
        <f>MAXA(A$34:A162)+1</f>
        <v>60</v>
      </c>
      <c r="C163" s="24" t="s">
        <v>53</v>
      </c>
      <c r="D163" s="514">
        <f>D113/$D158</f>
        <v>0.81994578040589328</v>
      </c>
      <c r="E163" s="515">
        <f>E113/$D158</f>
        <v>0.15437987296851599</v>
      </c>
      <c r="F163" s="515">
        <f>F113/$D158</f>
        <v>1.7434418828187952</v>
      </c>
      <c r="G163" s="53">
        <f>A163</f>
        <v>60</v>
      </c>
      <c r="H163" s="18" t="s">
        <v>950</v>
      </c>
      <c r="I163" s="20"/>
    </row>
    <row r="164" spans="1:15" ht="6.75" customHeight="1" x14ac:dyDescent="0.25">
      <c r="A164" s="149"/>
      <c r="C164" s="24"/>
      <c r="D164" s="64"/>
      <c r="E164" s="65"/>
      <c r="F164" s="65"/>
      <c r="G164" s="53"/>
      <c r="I164" s="18"/>
      <c r="J164" s="139"/>
      <c r="K164" s="139"/>
      <c r="L164" s="140"/>
      <c r="M164" s="18"/>
      <c r="N164" s="18"/>
      <c r="O164" s="18"/>
    </row>
    <row r="165" spans="1:15" ht="18.75" x14ac:dyDescent="0.3">
      <c r="A165" s="207" t="s">
        <v>330</v>
      </c>
      <c r="C165" s="24"/>
      <c r="D165" s="64"/>
      <c r="E165" s="65"/>
      <c r="F165" s="65"/>
      <c r="G165" s="53"/>
      <c r="I165" s="18"/>
      <c r="J165" s="139"/>
      <c r="K165" s="139"/>
      <c r="L165" s="140"/>
      <c r="M165" s="18"/>
      <c r="N165" s="18"/>
      <c r="O165" s="18"/>
    </row>
    <row r="166" spans="1:15" ht="15" customHeight="1" x14ac:dyDescent="0.25">
      <c r="A166" s="144"/>
      <c r="C166" s="24"/>
      <c r="D166" s="64"/>
      <c r="E166" s="65"/>
      <c r="F166" s="65"/>
      <c r="G166" s="53"/>
      <c r="I166" s="18"/>
      <c r="J166" s="139"/>
      <c r="K166" s="139"/>
      <c r="L166" s="140"/>
      <c r="M166" s="18"/>
      <c r="N166" s="18"/>
      <c r="O166" s="18"/>
    </row>
    <row r="167" spans="1:15" ht="45" customHeight="1" x14ac:dyDescent="0.25">
      <c r="A167" s="144"/>
      <c r="C167" s="813" t="s">
        <v>770</v>
      </c>
      <c r="D167" s="812"/>
      <c r="E167" s="812"/>
      <c r="F167" s="812"/>
      <c r="G167" s="812"/>
      <c r="H167" s="812"/>
      <c r="I167" s="812"/>
      <c r="J167" s="139"/>
      <c r="K167" s="139"/>
      <c r="L167" s="140"/>
      <c r="M167" s="18"/>
      <c r="N167" s="18"/>
      <c r="O167" s="18"/>
    </row>
    <row r="168" spans="1:15" ht="305.25" customHeight="1" x14ac:dyDescent="0.25">
      <c r="A168" s="144"/>
      <c r="C168" s="24"/>
      <c r="D168" s="64"/>
      <c r="E168" s="65"/>
      <c r="F168" s="65"/>
      <c r="G168" s="53"/>
      <c r="I168" s="18"/>
      <c r="J168" s="139"/>
      <c r="K168" s="139"/>
      <c r="L168" s="140"/>
      <c r="M168" s="18"/>
      <c r="N168" s="18"/>
      <c r="O168" s="18"/>
    </row>
    <row r="169" spans="1:15" ht="6.75" customHeight="1" x14ac:dyDescent="0.25">
      <c r="A169" s="149"/>
      <c r="C169" s="24"/>
      <c r="D169" s="64"/>
      <c r="E169" s="65"/>
      <c r="F169" s="65"/>
      <c r="G169" s="53"/>
      <c r="I169" s="18"/>
      <c r="J169" s="139"/>
      <c r="K169" s="139"/>
      <c r="L169" s="140"/>
      <c r="M169" s="18"/>
      <c r="N169" s="18"/>
      <c r="O169" s="18"/>
    </row>
    <row r="170" spans="1:15" ht="18.75" x14ac:dyDescent="0.3">
      <c r="A170" s="207" t="s">
        <v>629</v>
      </c>
      <c r="C170" s="24"/>
      <c r="D170" s="64"/>
      <c r="E170" s="65"/>
      <c r="F170" s="65"/>
      <c r="G170" s="53"/>
      <c r="I170" s="18"/>
      <c r="J170" s="139"/>
      <c r="K170" s="139"/>
      <c r="L170" s="140"/>
      <c r="M170" s="18"/>
      <c r="N170" s="18"/>
      <c r="O170" s="18"/>
    </row>
    <row r="171" spans="1:15" ht="15" customHeight="1" x14ac:dyDescent="0.3">
      <c r="A171" s="207"/>
      <c r="C171" s="24"/>
      <c r="D171" s="64"/>
      <c r="E171" s="65"/>
      <c r="F171" s="65"/>
      <c r="G171" s="53"/>
      <c r="I171" s="18"/>
      <c r="J171" s="139"/>
      <c r="K171" s="139"/>
      <c r="L171" s="140"/>
      <c r="M171" s="18"/>
      <c r="N171" s="18"/>
      <c r="O171" s="18"/>
    </row>
    <row r="172" spans="1:15" ht="15" customHeight="1" x14ac:dyDescent="0.3">
      <c r="A172" s="207"/>
      <c r="C172" s="24"/>
      <c r="D172" s="18"/>
      <c r="E172" s="356" t="s">
        <v>631</v>
      </c>
      <c r="F172" s="18"/>
      <c r="G172" s="330"/>
      <c r="H172" s="468" t="s">
        <v>633</v>
      </c>
      <c r="I172" s="18"/>
      <c r="J172" s="139"/>
      <c r="K172" s="139"/>
      <c r="L172" s="140"/>
      <c r="M172" s="18"/>
      <c r="N172" s="18"/>
      <c r="O172" s="18"/>
    </row>
    <row r="173" spans="1:15" ht="30.75" x14ac:dyDescent="0.3">
      <c r="A173" s="207"/>
      <c r="C173" s="24"/>
      <c r="D173" s="466" t="s">
        <v>524</v>
      </c>
      <c r="E173" s="466" t="s">
        <v>302</v>
      </c>
      <c r="F173" s="466" t="s">
        <v>893</v>
      </c>
      <c r="G173" s="467"/>
      <c r="I173" s="18"/>
      <c r="J173" s="139"/>
      <c r="K173" s="139"/>
      <c r="L173" s="140"/>
      <c r="M173" s="18"/>
      <c r="N173" s="18"/>
      <c r="O173" s="18"/>
    </row>
    <row r="174" spans="1:15" ht="3.95" customHeight="1" x14ac:dyDescent="0.3">
      <c r="A174" s="207"/>
      <c r="C174" s="24"/>
      <c r="D174" s="64"/>
      <c r="E174" s="65"/>
      <c r="F174" s="65"/>
      <c r="G174" s="53"/>
      <c r="I174" s="18"/>
      <c r="J174" s="139"/>
      <c r="K174" s="139"/>
      <c r="L174" s="140"/>
      <c r="M174" s="18"/>
      <c r="N174" s="18"/>
      <c r="O174" s="18"/>
    </row>
    <row r="175" spans="1:15" ht="30" customHeight="1" x14ac:dyDescent="0.25">
      <c r="A175" s="821" t="s">
        <v>23</v>
      </c>
      <c r="B175" s="822"/>
      <c r="C175" s="822"/>
      <c r="D175" s="250" t="s">
        <v>847</v>
      </c>
      <c r="E175" s="465" t="s">
        <v>630</v>
      </c>
      <c r="F175" s="250" t="s">
        <v>847</v>
      </c>
      <c r="G175" s="330"/>
      <c r="H175" s="251" t="s">
        <v>847</v>
      </c>
      <c r="I175" s="18"/>
      <c r="J175" s="139"/>
      <c r="K175" s="139"/>
      <c r="L175" s="140"/>
      <c r="M175" s="18"/>
      <c r="N175" s="18"/>
      <c r="O175" s="18"/>
    </row>
    <row r="176" spans="1:15" ht="3.95" customHeight="1" x14ac:dyDescent="0.25">
      <c r="A176" s="463"/>
      <c r="B176" s="464"/>
      <c r="C176" s="464"/>
      <c r="D176" s="250"/>
      <c r="E176" s="250"/>
      <c r="F176" s="250"/>
      <c r="G176" s="330"/>
      <c r="H176" s="251"/>
      <c r="I176" s="18"/>
      <c r="J176" s="139"/>
      <c r="K176" s="139"/>
      <c r="L176" s="140"/>
      <c r="M176" s="18"/>
      <c r="N176" s="18"/>
      <c r="O176" s="18"/>
    </row>
    <row r="177" spans="1:15" ht="30" customHeight="1" x14ac:dyDescent="0.25">
      <c r="A177" s="821" t="s">
        <v>888</v>
      </c>
      <c r="B177" s="822"/>
      <c r="C177" s="822"/>
      <c r="D177" s="250" t="s">
        <v>847</v>
      </c>
      <c r="E177" s="465" t="s">
        <v>630</v>
      </c>
      <c r="F177" s="250" t="s">
        <v>847</v>
      </c>
      <c r="G177" s="330"/>
      <c r="H177" s="251" t="s">
        <v>847</v>
      </c>
      <c r="I177" s="18"/>
      <c r="J177" s="139"/>
      <c r="K177" s="139"/>
      <c r="L177" s="140"/>
      <c r="M177" s="18"/>
      <c r="N177" s="18"/>
      <c r="O177" s="18"/>
    </row>
    <row r="178" spans="1:15" ht="3.95" customHeight="1" x14ac:dyDescent="0.25">
      <c r="A178" s="463"/>
      <c r="B178" s="464"/>
      <c r="C178" s="464"/>
      <c r="D178" s="250"/>
      <c r="E178" s="250"/>
      <c r="F178" s="250"/>
      <c r="G178" s="330"/>
      <c r="H178" s="251"/>
      <c r="I178" s="18"/>
      <c r="J178" s="139"/>
      <c r="K178" s="139"/>
      <c r="L178" s="140"/>
      <c r="M178" s="18"/>
      <c r="N178" s="18"/>
      <c r="O178" s="18"/>
    </row>
    <row r="179" spans="1:15" ht="30" customHeight="1" x14ac:dyDescent="0.25">
      <c r="A179" s="821" t="s">
        <v>889</v>
      </c>
      <c r="B179" s="822"/>
      <c r="C179" s="822"/>
      <c r="D179" s="250" t="s">
        <v>848</v>
      </c>
      <c r="E179" s="465" t="s">
        <v>630</v>
      </c>
      <c r="F179" s="250" t="s">
        <v>848</v>
      </c>
      <c r="G179" s="330"/>
      <c r="H179" s="251" t="s">
        <v>847</v>
      </c>
      <c r="I179" s="18"/>
      <c r="J179" s="139"/>
      <c r="K179" s="139"/>
      <c r="L179" s="140"/>
      <c r="M179" s="18"/>
      <c r="N179" s="18"/>
      <c r="O179" s="18"/>
    </row>
    <row r="180" spans="1:15" ht="3.95" customHeight="1" x14ac:dyDescent="0.25">
      <c r="A180" s="463"/>
      <c r="B180" s="464"/>
      <c r="C180" s="464"/>
      <c r="D180" s="250"/>
      <c r="E180" s="250"/>
      <c r="F180" s="250"/>
      <c r="G180" s="330"/>
      <c r="H180" s="251"/>
      <c r="I180" s="18"/>
      <c r="J180" s="139"/>
      <c r="K180" s="139"/>
      <c r="L180" s="140"/>
      <c r="M180" s="18"/>
      <c r="N180" s="18"/>
      <c r="O180" s="18"/>
    </row>
    <row r="181" spans="1:15" ht="30" customHeight="1" x14ac:dyDescent="0.25">
      <c r="A181" s="821" t="s">
        <v>890</v>
      </c>
      <c r="B181" s="822"/>
      <c r="C181" s="822"/>
      <c r="D181" s="250" t="s">
        <v>848</v>
      </c>
      <c r="E181" s="465" t="s">
        <v>630</v>
      </c>
      <c r="F181" s="250" t="s">
        <v>848</v>
      </c>
      <c r="G181" s="330"/>
      <c r="H181" s="251" t="s">
        <v>847</v>
      </c>
      <c r="I181" s="18"/>
      <c r="J181" s="139"/>
      <c r="K181" s="139"/>
      <c r="L181" s="140"/>
      <c r="M181" s="18"/>
      <c r="N181" s="18"/>
      <c r="O181" s="18"/>
    </row>
    <row r="182" spans="1:15" ht="3.95" customHeight="1" x14ac:dyDescent="0.25">
      <c r="A182" s="463"/>
      <c r="B182" s="464"/>
      <c r="C182" s="464"/>
      <c r="D182" s="250"/>
      <c r="E182" s="250"/>
      <c r="F182" s="250"/>
      <c r="G182" s="330"/>
      <c r="H182" s="251"/>
      <c r="I182" s="18"/>
      <c r="J182" s="139"/>
      <c r="K182" s="139"/>
      <c r="L182" s="140"/>
      <c r="M182" s="18"/>
      <c r="N182" s="18"/>
      <c r="O182" s="18"/>
    </row>
    <row r="183" spans="1:15" ht="30" customHeight="1" x14ac:dyDescent="0.25">
      <c r="A183" s="821" t="s">
        <v>891</v>
      </c>
      <c r="B183" s="822"/>
      <c r="C183" s="822"/>
      <c r="D183" s="250" t="s">
        <v>848</v>
      </c>
      <c r="E183" s="465" t="s">
        <v>630</v>
      </c>
      <c r="F183" s="250" t="s">
        <v>848</v>
      </c>
      <c r="G183" s="330"/>
      <c r="H183" s="251" t="s">
        <v>847</v>
      </c>
      <c r="I183" s="18"/>
      <c r="J183" s="139"/>
      <c r="K183" s="139"/>
      <c r="L183" s="140"/>
      <c r="M183" s="18"/>
      <c r="N183" s="18"/>
      <c r="O183" s="18"/>
    </row>
    <row r="184" spans="1:15" ht="3.95" customHeight="1" x14ac:dyDescent="0.25">
      <c r="A184" s="463"/>
      <c r="B184" s="464"/>
      <c r="C184" s="464"/>
      <c r="D184" s="250"/>
      <c r="E184" s="250"/>
      <c r="F184" s="250"/>
      <c r="G184" s="330"/>
      <c r="H184" s="251"/>
      <c r="I184" s="18"/>
      <c r="J184" s="139"/>
      <c r="K184" s="139"/>
      <c r="L184" s="140"/>
      <c r="M184" s="18"/>
      <c r="N184" s="18"/>
      <c r="O184" s="18"/>
    </row>
    <row r="185" spans="1:15" ht="30" customHeight="1" x14ac:dyDescent="0.25">
      <c r="A185" s="821" t="s">
        <v>667</v>
      </c>
      <c r="B185" s="822"/>
      <c r="C185" s="822"/>
      <c r="D185" s="250" t="s">
        <v>892</v>
      </c>
      <c r="E185" s="250" t="s">
        <v>848</v>
      </c>
      <c r="F185" s="250" t="s">
        <v>848</v>
      </c>
      <c r="G185" s="330"/>
      <c r="H185" s="251" t="s">
        <v>892</v>
      </c>
      <c r="I185" s="18"/>
      <c r="J185" s="139"/>
      <c r="K185" s="139"/>
      <c r="L185" s="140"/>
      <c r="M185" s="18"/>
      <c r="N185" s="18"/>
      <c r="O185" s="18"/>
    </row>
    <row r="186" spans="1:15" ht="3.95" customHeight="1" x14ac:dyDescent="0.25">
      <c r="A186" s="463"/>
      <c r="B186" s="464"/>
      <c r="C186" s="464"/>
      <c r="D186" s="250"/>
      <c r="E186" s="250"/>
      <c r="F186" s="250"/>
      <c r="G186" s="330"/>
      <c r="H186" s="251"/>
      <c r="I186" s="18"/>
      <c r="J186" s="139"/>
      <c r="K186" s="139"/>
      <c r="L186" s="140"/>
      <c r="M186" s="18"/>
      <c r="N186" s="18"/>
      <c r="O186" s="18"/>
    </row>
    <row r="187" spans="1:15" ht="30" customHeight="1" x14ac:dyDescent="0.25">
      <c r="A187" s="821" t="s">
        <v>700</v>
      </c>
      <c r="B187" s="822"/>
      <c r="C187" s="822"/>
      <c r="D187" s="250" t="s">
        <v>847</v>
      </c>
      <c r="E187" s="250" t="s">
        <v>848</v>
      </c>
      <c r="F187" s="250" t="s">
        <v>848</v>
      </c>
      <c r="G187" s="330"/>
      <c r="H187" s="251" t="s">
        <v>847</v>
      </c>
      <c r="I187" s="18"/>
      <c r="J187" s="139"/>
      <c r="K187" s="139"/>
      <c r="L187" s="140"/>
      <c r="M187" s="18"/>
      <c r="N187" s="18"/>
      <c r="O187" s="18"/>
    </row>
    <row r="188" spans="1:15" ht="3.95" customHeight="1" x14ac:dyDescent="0.25">
      <c r="A188" s="463"/>
      <c r="B188" s="464"/>
      <c r="C188" s="464"/>
      <c r="D188" s="250"/>
      <c r="E188" s="250"/>
      <c r="F188" s="250"/>
      <c r="G188" s="330"/>
      <c r="H188" s="251"/>
      <c r="I188" s="18"/>
      <c r="J188" s="139"/>
      <c r="K188" s="139"/>
      <c r="L188" s="140"/>
      <c r="M188" s="18"/>
      <c r="N188" s="18"/>
      <c r="O188" s="18"/>
    </row>
    <row r="189" spans="1:15" ht="30" customHeight="1" x14ac:dyDescent="0.25">
      <c r="A189" s="821" t="s">
        <v>894</v>
      </c>
      <c r="B189" s="822"/>
      <c r="C189" s="822"/>
      <c r="D189" s="250" t="s">
        <v>848</v>
      </c>
      <c r="E189" s="465" t="s">
        <v>630</v>
      </c>
      <c r="F189" s="250" t="s">
        <v>848</v>
      </c>
      <c r="G189" s="330"/>
      <c r="H189" s="251" t="s">
        <v>892</v>
      </c>
      <c r="I189" s="18"/>
      <c r="J189" s="139"/>
      <c r="K189" s="139"/>
      <c r="L189" s="140"/>
      <c r="M189" s="18"/>
      <c r="N189" s="18"/>
      <c r="O189" s="18"/>
    </row>
    <row r="190" spans="1:15" ht="3.95" customHeight="1" x14ac:dyDescent="0.25">
      <c r="A190" s="463"/>
      <c r="B190" s="464"/>
      <c r="C190" s="464"/>
      <c r="D190" s="250"/>
      <c r="E190" s="250"/>
      <c r="F190" s="250"/>
      <c r="G190" s="330"/>
      <c r="H190" s="251"/>
      <c r="I190" s="18"/>
      <c r="J190" s="139"/>
      <c r="K190" s="139"/>
      <c r="L190" s="140"/>
      <c r="M190" s="18"/>
      <c r="N190" s="18"/>
      <c r="O190" s="18"/>
    </row>
    <row r="191" spans="1:15" ht="30" customHeight="1" x14ac:dyDescent="0.25">
      <c r="A191" s="821" t="s">
        <v>895</v>
      </c>
      <c r="B191" s="822"/>
      <c r="C191" s="822"/>
      <c r="D191" s="250" t="s">
        <v>847</v>
      </c>
      <c r="E191" s="465" t="s">
        <v>630</v>
      </c>
      <c r="F191" s="250" t="s">
        <v>847</v>
      </c>
      <c r="G191" s="330"/>
      <c r="H191" s="251" t="s">
        <v>847</v>
      </c>
      <c r="I191" s="18"/>
      <c r="J191" s="139"/>
      <c r="K191" s="139"/>
      <c r="L191" s="140"/>
      <c r="M191" s="18"/>
      <c r="N191" s="18"/>
      <c r="O191" s="18"/>
    </row>
    <row r="192" spans="1:15" ht="3.95" customHeight="1" x14ac:dyDescent="0.25">
      <c r="A192" s="463"/>
      <c r="B192" s="464"/>
      <c r="C192" s="464"/>
      <c r="D192" s="250"/>
      <c r="E192" s="250"/>
      <c r="F192" s="250"/>
      <c r="G192" s="330"/>
      <c r="H192" s="251"/>
      <c r="I192" s="18"/>
      <c r="J192" s="139"/>
      <c r="K192" s="139"/>
      <c r="L192" s="140"/>
      <c r="M192" s="18"/>
      <c r="N192" s="18"/>
      <c r="O192" s="18"/>
    </row>
    <row r="193" spans="1:16" ht="30" customHeight="1" x14ac:dyDescent="0.25">
      <c r="A193" s="821" t="s">
        <v>896</v>
      </c>
      <c r="B193" s="822"/>
      <c r="C193" s="822"/>
      <c r="D193" s="250" t="s">
        <v>848</v>
      </c>
      <c r="E193" s="465" t="s">
        <v>630</v>
      </c>
      <c r="F193" s="250" t="s">
        <v>848</v>
      </c>
      <c r="G193" s="330"/>
      <c r="H193" s="251" t="s">
        <v>892</v>
      </c>
      <c r="I193" s="18"/>
      <c r="J193" s="139"/>
      <c r="K193" s="139"/>
      <c r="L193" s="140"/>
      <c r="M193" s="18"/>
      <c r="N193" s="18"/>
      <c r="O193" s="18"/>
    </row>
    <row r="194" spans="1:16" ht="15" customHeight="1" x14ac:dyDescent="0.25">
      <c r="A194" s="149"/>
      <c r="C194" s="24"/>
      <c r="D194" s="64"/>
      <c r="E194" s="65"/>
      <c r="F194" s="65"/>
      <c r="G194" s="53"/>
      <c r="I194" s="18"/>
      <c r="J194" s="139"/>
      <c r="K194" s="139"/>
      <c r="L194" s="140"/>
      <c r="M194" s="18"/>
      <c r="N194" s="18"/>
      <c r="O194" s="18"/>
    </row>
    <row r="195" spans="1:16" ht="29.25" customHeight="1" x14ac:dyDescent="0.25">
      <c r="A195" s="144" t="s">
        <v>455</v>
      </c>
      <c r="C195" s="24"/>
      <c r="D195" s="64"/>
      <c r="E195" s="65"/>
      <c r="F195" s="65"/>
      <c r="G195" s="53"/>
      <c r="I195" s="18"/>
      <c r="J195" s="139"/>
      <c r="K195" s="139"/>
      <c r="L195" s="140"/>
      <c r="M195" s="18"/>
      <c r="N195" s="18"/>
      <c r="O195" s="18"/>
    </row>
    <row r="196" spans="1:16" s="170" customFormat="1" ht="23.25" hidden="1" x14ac:dyDescent="0.25">
      <c r="A196" s="164"/>
      <c r="B196" s="164"/>
      <c r="C196" s="165"/>
      <c r="D196" s="166"/>
      <c r="E196" s="167"/>
      <c r="F196" s="167"/>
      <c r="G196" s="168"/>
      <c r="H196" s="169"/>
      <c r="J196" s="171"/>
      <c r="K196" s="171"/>
      <c r="L196" s="172"/>
      <c r="P196" s="173"/>
    </row>
    <row r="197" spans="1:16" ht="45" hidden="1" customHeight="1" x14ac:dyDescent="0.25">
      <c r="A197" s="149"/>
      <c r="C197" s="840"/>
      <c r="D197" s="841"/>
      <c r="E197" s="841"/>
      <c r="F197" s="841"/>
      <c r="G197" s="841"/>
      <c r="H197" s="841"/>
      <c r="I197" s="18"/>
      <c r="J197" s="139"/>
      <c r="K197" s="139"/>
      <c r="L197" s="140"/>
      <c r="M197" s="18"/>
      <c r="N197" s="18"/>
      <c r="O197" s="18"/>
    </row>
    <row r="198" spans="1:16" ht="5.0999999999999996" customHeight="1" x14ac:dyDescent="0.25">
      <c r="A198" s="149"/>
      <c r="C198" s="24"/>
      <c r="D198" s="64"/>
      <c r="E198" s="69"/>
      <c r="F198" s="70"/>
      <c r="G198" s="70"/>
      <c r="H198" s="70"/>
      <c r="I198" s="18"/>
      <c r="J198" s="139"/>
      <c r="K198" s="139"/>
      <c r="L198" s="140"/>
      <c r="M198" s="18"/>
      <c r="N198" s="18"/>
      <c r="O198" s="18"/>
    </row>
    <row r="199" spans="1:16" ht="15.75" x14ac:dyDescent="0.25">
      <c r="A199" s="145" t="s">
        <v>703</v>
      </c>
      <c r="C199" s="24"/>
      <c r="D199" s="64"/>
      <c r="E199" s="65"/>
      <c r="F199" s="65"/>
      <c r="G199" s="53"/>
      <c r="I199" s="18"/>
      <c r="J199" s="139"/>
      <c r="K199" s="139"/>
      <c r="L199" s="140"/>
      <c r="M199" s="18"/>
      <c r="N199" s="18"/>
      <c r="O199" s="18"/>
    </row>
    <row r="200" spans="1:16" ht="15" customHeight="1" x14ac:dyDescent="0.25">
      <c r="A200" s="145"/>
      <c r="B200" s="839" t="s">
        <v>881</v>
      </c>
      <c r="C200" s="812"/>
      <c r="D200" s="64"/>
      <c r="E200" s="65"/>
      <c r="F200" s="65"/>
      <c r="G200" s="53"/>
      <c r="I200" s="18"/>
      <c r="J200" s="139"/>
      <c r="K200" s="139"/>
      <c r="L200" s="140"/>
      <c r="M200" s="18"/>
      <c r="N200" s="18"/>
      <c r="O200" s="18"/>
    </row>
    <row r="201" spans="1:16" ht="15" customHeight="1" x14ac:dyDescent="0.25">
      <c r="A201" s="149"/>
      <c r="B201" s="812"/>
      <c r="C201" s="812"/>
      <c r="D201" s="525">
        <v>1</v>
      </c>
      <c r="E201" s="526" t="s">
        <v>68</v>
      </c>
      <c r="F201" s="823" t="s">
        <v>882</v>
      </c>
      <c r="G201" s="824"/>
      <c r="H201" s="824"/>
      <c r="I201" s="18"/>
      <c r="J201" s="139"/>
      <c r="K201" s="139"/>
      <c r="L201" s="140"/>
      <c r="M201" s="18"/>
      <c r="N201" s="18"/>
      <c r="O201" s="18"/>
    </row>
    <row r="202" spans="1:16" ht="3.95" customHeight="1" x14ac:dyDescent="0.25">
      <c r="A202" s="149"/>
      <c r="C202" s="386"/>
      <c r="D202" s="527"/>
      <c r="E202" s="526"/>
      <c r="F202" s="387"/>
      <c r="G202" s="387"/>
      <c r="H202" s="387"/>
      <c r="I202" s="18"/>
      <c r="J202" s="139"/>
      <c r="K202" s="139"/>
      <c r="L202" s="140"/>
      <c r="M202" s="18"/>
      <c r="N202" s="18"/>
      <c r="O202" s="18"/>
    </row>
    <row r="203" spans="1:16" x14ac:dyDescent="0.25">
      <c r="A203" s="149"/>
      <c r="B203" s="393" t="s">
        <v>706</v>
      </c>
      <c r="D203" s="525">
        <v>3</v>
      </c>
      <c r="E203" s="526" t="s">
        <v>68</v>
      </c>
      <c r="F203" s="823" t="s">
        <v>669</v>
      </c>
      <c r="G203" s="824"/>
      <c r="H203" s="824"/>
      <c r="I203" s="18"/>
      <c r="J203" s="139"/>
      <c r="K203" s="139"/>
      <c r="L203" s="140"/>
      <c r="M203" s="18"/>
      <c r="N203" s="18"/>
      <c r="O203" s="18"/>
    </row>
    <row r="204" spans="1:16" ht="3.95" customHeight="1" x14ac:dyDescent="0.25">
      <c r="A204" s="149"/>
      <c r="B204" s="393"/>
      <c r="D204" s="528"/>
      <c r="E204" s="528"/>
      <c r="F204" s="425"/>
      <c r="G204" s="469"/>
      <c r="H204" s="469"/>
      <c r="I204" s="18"/>
      <c r="J204" s="139"/>
      <c r="K204" s="139"/>
      <c r="L204" s="140"/>
      <c r="M204" s="18"/>
      <c r="N204" s="18"/>
      <c r="O204" s="18"/>
    </row>
    <row r="205" spans="1:16" x14ac:dyDescent="0.25">
      <c r="A205" s="149"/>
      <c r="B205" s="393"/>
      <c r="D205" s="525">
        <v>5.4</v>
      </c>
      <c r="E205" s="526" t="s">
        <v>68</v>
      </c>
      <c r="F205" s="823" t="s">
        <v>901</v>
      </c>
      <c r="G205" s="824"/>
      <c r="H205" s="824"/>
      <c r="I205" s="18"/>
      <c r="J205" s="139"/>
      <c r="K205" s="139"/>
      <c r="L205" s="140"/>
      <c r="M205" s="18"/>
      <c r="N205" s="18"/>
      <c r="O205" s="18"/>
    </row>
    <row r="206" spans="1:16" ht="30" customHeight="1" x14ac:dyDescent="0.25">
      <c r="A206" s="149"/>
      <c r="B206" s="397" t="s">
        <v>707</v>
      </c>
      <c r="C206" s="388"/>
      <c r="D206" s="529"/>
      <c r="E206" s="526"/>
      <c r="F206" s="823" t="s">
        <v>983</v>
      </c>
      <c r="G206" s="823"/>
      <c r="H206" s="823"/>
      <c r="I206" s="18"/>
      <c r="J206" s="139"/>
      <c r="K206" s="139"/>
      <c r="L206" s="140"/>
      <c r="M206" s="18"/>
      <c r="N206" s="18"/>
      <c r="O206" s="18"/>
    </row>
    <row r="207" spans="1:16" ht="6" customHeight="1" x14ac:dyDescent="0.25">
      <c r="A207" s="149"/>
      <c r="B207" s="397"/>
      <c r="C207" s="388"/>
      <c r="D207" s="529"/>
      <c r="E207" s="526"/>
      <c r="F207" s="422"/>
      <c r="G207" s="422"/>
      <c r="H207" s="422"/>
      <c r="I207" s="18"/>
      <c r="J207" s="139"/>
      <c r="K207" s="139"/>
      <c r="L207" s="140"/>
      <c r="M207" s="18"/>
      <c r="N207" s="18"/>
      <c r="O207" s="18"/>
    </row>
    <row r="208" spans="1:16" ht="30" customHeight="1" x14ac:dyDescent="0.25">
      <c r="A208" s="149"/>
      <c r="B208" s="397" t="s">
        <v>908</v>
      </c>
      <c r="C208" s="388"/>
      <c r="D208" s="529"/>
      <c r="E208" s="526"/>
      <c r="F208" s="823" t="s">
        <v>984</v>
      </c>
      <c r="G208" s="823"/>
      <c r="H208" s="823"/>
      <c r="I208" s="18"/>
      <c r="J208" s="139"/>
      <c r="K208" s="139"/>
      <c r="L208" s="140"/>
      <c r="M208" s="18"/>
      <c r="N208" s="18"/>
      <c r="O208" s="18"/>
    </row>
    <row r="209" spans="1:15" ht="6" customHeight="1" x14ac:dyDescent="0.25">
      <c r="A209" s="149"/>
      <c r="B209" s="397"/>
      <c r="C209" s="388"/>
      <c r="D209" s="529"/>
      <c r="E209" s="526"/>
      <c r="F209" s="422"/>
      <c r="G209" s="422"/>
      <c r="H209" s="422"/>
      <c r="I209" s="18"/>
      <c r="J209" s="139"/>
      <c r="K209" s="139"/>
      <c r="L209" s="140"/>
      <c r="M209" s="18"/>
      <c r="N209" s="18"/>
      <c r="O209" s="18"/>
    </row>
    <row r="210" spans="1:15" ht="15.75" x14ac:dyDescent="0.25">
      <c r="A210" s="145" t="s">
        <v>704</v>
      </c>
      <c r="C210" s="24"/>
      <c r="D210" s="530"/>
      <c r="E210" s="531"/>
      <c r="F210" s="832"/>
      <c r="G210" s="812"/>
      <c r="H210" s="812"/>
      <c r="I210" s="18"/>
      <c r="J210" s="139"/>
      <c r="K210" s="139"/>
      <c r="L210" s="140"/>
      <c r="M210" s="18"/>
      <c r="N210" s="18"/>
      <c r="O210" s="18"/>
    </row>
    <row r="211" spans="1:15" ht="3" customHeight="1" x14ac:dyDescent="0.25">
      <c r="A211" s="149"/>
      <c r="C211" s="389"/>
      <c r="D211" s="532"/>
      <c r="E211" s="532"/>
      <c r="F211" s="389"/>
      <c r="G211" s="389"/>
      <c r="H211" s="389"/>
      <c r="I211" s="18"/>
      <c r="J211" s="139"/>
      <c r="K211" s="139"/>
      <c r="L211" s="140"/>
      <c r="M211" s="18"/>
      <c r="N211" s="18"/>
      <c r="O211" s="18"/>
    </row>
    <row r="212" spans="1:15" x14ac:dyDescent="0.25">
      <c r="A212" s="149"/>
      <c r="B212" s="24" t="s">
        <v>708</v>
      </c>
      <c r="D212" s="525">
        <v>4.7</v>
      </c>
      <c r="E212" s="533"/>
      <c r="F212" s="823" t="s">
        <v>668</v>
      </c>
      <c r="G212" s="824"/>
      <c r="H212" s="824"/>
      <c r="I212" s="18"/>
      <c r="J212" s="139"/>
      <c r="K212" s="139"/>
      <c r="L212" s="140"/>
      <c r="M212" s="18"/>
      <c r="N212" s="18"/>
      <c r="O212" s="18"/>
    </row>
    <row r="213" spans="1:15" ht="3" customHeight="1" x14ac:dyDescent="0.25">
      <c r="A213" s="149"/>
      <c r="C213" s="24"/>
      <c r="D213" s="530"/>
      <c r="E213" s="534"/>
      <c r="F213" s="70"/>
      <c r="G213" s="70"/>
      <c r="H213" s="70"/>
      <c r="I213" s="18"/>
      <c r="J213" s="139"/>
      <c r="K213" s="139"/>
      <c r="L213" s="140"/>
      <c r="M213" s="18"/>
      <c r="N213" s="18"/>
      <c r="O213" s="18"/>
    </row>
    <row r="214" spans="1:15" ht="15" customHeight="1" x14ac:dyDescent="0.25">
      <c r="A214" s="149"/>
      <c r="B214" s="24" t="s">
        <v>709</v>
      </c>
      <c r="C214" s="24"/>
      <c r="D214" s="535"/>
      <c r="E214" s="536"/>
      <c r="F214" s="18"/>
      <c r="G214" s="18"/>
      <c r="I214" s="18"/>
      <c r="J214" s="139"/>
      <c r="K214" s="139"/>
      <c r="L214" s="140"/>
      <c r="M214" s="18"/>
      <c r="N214" s="18"/>
      <c r="O214" s="18"/>
    </row>
    <row r="215" spans="1:15" ht="15" customHeight="1" x14ac:dyDescent="0.25">
      <c r="A215" s="149"/>
      <c r="C215" s="470" t="s">
        <v>922</v>
      </c>
      <c r="D215" s="830" t="s">
        <v>140</v>
      </c>
      <c r="E215" s="831"/>
      <c r="F215" s="18"/>
      <c r="G215" s="18"/>
      <c r="I215" s="18"/>
      <c r="J215" s="139"/>
      <c r="K215" s="139"/>
      <c r="L215" s="140"/>
      <c r="M215" s="18"/>
      <c r="N215" s="18"/>
      <c r="O215" s="18"/>
    </row>
    <row r="216" spans="1:15" ht="15" customHeight="1" x14ac:dyDescent="0.25">
      <c r="A216" s="149"/>
      <c r="C216" s="390">
        <v>0.05</v>
      </c>
      <c r="D216" s="537">
        <v>5.8</v>
      </c>
      <c r="E216" s="538"/>
      <c r="F216" s="423" t="s">
        <v>876</v>
      </c>
      <c r="G216" s="420"/>
      <c r="H216" s="420"/>
      <c r="I216" s="18"/>
      <c r="J216" s="139"/>
      <c r="K216" s="139"/>
      <c r="L216" s="140"/>
      <c r="M216" s="18"/>
      <c r="N216" s="18"/>
      <c r="O216" s="18"/>
    </row>
    <row r="217" spans="1:15" ht="15" customHeight="1" x14ac:dyDescent="0.25">
      <c r="A217" s="149"/>
      <c r="C217" s="390">
        <v>0.1</v>
      </c>
      <c r="D217" s="537">
        <v>3.75</v>
      </c>
      <c r="E217" s="538"/>
      <c r="F217" s="487" t="s">
        <v>985</v>
      </c>
      <c r="G217" s="420"/>
      <c r="H217" s="420"/>
      <c r="I217" s="18"/>
      <c r="J217" s="139"/>
      <c r="K217" s="139"/>
      <c r="L217" s="140"/>
      <c r="M217" s="18"/>
      <c r="N217" s="18"/>
      <c r="O217" s="18"/>
    </row>
    <row r="218" spans="1:15" ht="15" customHeight="1" x14ac:dyDescent="0.25">
      <c r="A218" s="149"/>
      <c r="C218" s="390">
        <v>0.15</v>
      </c>
      <c r="D218" s="537">
        <v>2.9</v>
      </c>
      <c r="E218" s="538"/>
      <c r="F218" s="423" t="s">
        <v>880</v>
      </c>
      <c r="G218" s="368"/>
      <c r="H218" s="368"/>
      <c r="I218" s="18"/>
      <c r="J218" s="139"/>
      <c r="K218" s="139"/>
      <c r="L218" s="140"/>
      <c r="M218" s="18"/>
      <c r="N218" s="18"/>
      <c r="O218" s="18"/>
    </row>
    <row r="219" spans="1:15" ht="15" customHeight="1" x14ac:dyDescent="0.25">
      <c r="A219" s="149"/>
      <c r="C219" s="390">
        <v>0.2</v>
      </c>
      <c r="D219" s="537">
        <v>2.4</v>
      </c>
      <c r="E219" s="538"/>
      <c r="F219" s="423" t="s">
        <v>877</v>
      </c>
      <c r="G219" s="368"/>
      <c r="H219" s="368"/>
      <c r="I219" s="18"/>
      <c r="J219" s="139"/>
      <c r="K219" s="139"/>
      <c r="L219" s="140"/>
      <c r="M219" s="18"/>
      <c r="N219" s="18"/>
      <c r="O219" s="18"/>
    </row>
    <row r="220" spans="1:15" ht="15" customHeight="1" x14ac:dyDescent="0.25">
      <c r="A220" s="149"/>
      <c r="C220" s="390">
        <v>0.25</v>
      </c>
      <c r="D220" s="537">
        <v>2.1</v>
      </c>
      <c r="E220" s="538"/>
      <c r="F220" s="423" t="s">
        <v>878</v>
      </c>
      <c r="G220" s="368"/>
      <c r="H220" s="368"/>
      <c r="I220" s="18"/>
      <c r="J220" s="139"/>
      <c r="K220" s="139"/>
      <c r="L220" s="140"/>
      <c r="M220" s="18"/>
      <c r="N220" s="18"/>
      <c r="O220" s="18"/>
    </row>
    <row r="221" spans="1:15" ht="15" customHeight="1" x14ac:dyDescent="0.25">
      <c r="A221" s="149"/>
      <c r="C221" s="390">
        <v>0.3</v>
      </c>
      <c r="D221" s="537">
        <v>1.85</v>
      </c>
      <c r="E221" s="538"/>
      <c r="F221" s="423" t="s">
        <v>879</v>
      </c>
      <c r="G221" s="368"/>
      <c r="H221" s="368"/>
      <c r="I221" s="18"/>
      <c r="J221" s="139"/>
      <c r="K221" s="139"/>
      <c r="L221" s="140"/>
      <c r="M221" s="18"/>
      <c r="N221" s="18"/>
      <c r="O221" s="18"/>
    </row>
    <row r="222" spans="1:15" ht="15" customHeight="1" x14ac:dyDescent="0.25">
      <c r="A222" s="149"/>
      <c r="C222" s="390">
        <v>0.35</v>
      </c>
      <c r="D222" s="537">
        <v>1.7</v>
      </c>
      <c r="E222" s="538"/>
      <c r="F222" s="368"/>
      <c r="G222" s="368"/>
      <c r="H222" s="368"/>
      <c r="I222" s="18"/>
      <c r="J222" s="139"/>
      <c r="K222" s="139"/>
      <c r="L222" s="140"/>
      <c r="M222" s="18"/>
      <c r="N222" s="18"/>
      <c r="O222" s="18"/>
    </row>
    <row r="223" spans="1:15" ht="15" customHeight="1" x14ac:dyDescent="0.25">
      <c r="A223" s="149"/>
      <c r="C223" s="390">
        <v>0.4</v>
      </c>
      <c r="D223" s="537">
        <v>1.55</v>
      </c>
      <c r="E223" s="538"/>
      <c r="F223" s="368"/>
      <c r="G223" s="368"/>
      <c r="H223" s="368"/>
      <c r="I223" s="18"/>
      <c r="J223" s="139"/>
      <c r="K223" s="139"/>
      <c r="L223" s="140"/>
      <c r="M223" s="18"/>
      <c r="N223" s="18"/>
      <c r="O223" s="18"/>
    </row>
    <row r="224" spans="1:15" ht="15" customHeight="1" x14ac:dyDescent="0.25">
      <c r="A224" s="149"/>
      <c r="C224" s="390">
        <v>0.45</v>
      </c>
      <c r="D224" s="537">
        <v>1.45</v>
      </c>
      <c r="E224" s="538"/>
      <c r="F224" s="368"/>
      <c r="G224" s="368"/>
      <c r="H224" s="368"/>
      <c r="I224" s="18"/>
      <c r="J224" s="139"/>
      <c r="K224" s="139"/>
      <c r="L224" s="140"/>
      <c r="M224" s="18"/>
      <c r="N224" s="18"/>
      <c r="O224" s="18"/>
    </row>
    <row r="225" spans="1:16" ht="15" customHeight="1" x14ac:dyDescent="0.25">
      <c r="A225" s="149"/>
      <c r="C225" s="390">
        <v>0.5</v>
      </c>
      <c r="D225" s="537">
        <v>1.35</v>
      </c>
      <c r="E225" s="538"/>
      <c r="F225" s="368"/>
      <c r="G225" s="368"/>
      <c r="H225" s="368"/>
      <c r="I225" s="18"/>
      <c r="J225" s="139"/>
      <c r="K225" s="139"/>
      <c r="L225" s="140"/>
      <c r="M225" s="18"/>
      <c r="N225" s="18"/>
      <c r="O225" s="18"/>
    </row>
    <row r="226" spans="1:16" ht="15" customHeight="1" x14ac:dyDescent="0.25">
      <c r="A226" s="149"/>
      <c r="C226" s="390">
        <v>0.55000000000000004</v>
      </c>
      <c r="D226" s="537">
        <v>1.25</v>
      </c>
      <c r="E226" s="538"/>
      <c r="F226" s="368"/>
      <c r="G226" s="368"/>
      <c r="H226" s="368"/>
      <c r="I226" s="18"/>
      <c r="J226" s="139"/>
      <c r="K226" s="139"/>
      <c r="L226" s="140"/>
      <c r="M226" s="18"/>
      <c r="N226" s="18"/>
      <c r="O226" s="18"/>
    </row>
    <row r="227" spans="1:16" ht="15" customHeight="1" x14ac:dyDescent="0.25">
      <c r="A227" s="149"/>
      <c r="C227" s="390">
        <v>0.6</v>
      </c>
      <c r="D227" s="537">
        <v>1.2</v>
      </c>
      <c r="E227" s="538"/>
      <c r="F227" s="368"/>
      <c r="G227" s="368"/>
      <c r="H227" s="368"/>
      <c r="I227" s="18"/>
      <c r="J227" s="139"/>
      <c r="K227" s="139"/>
      <c r="L227" s="140"/>
      <c r="M227" s="18"/>
      <c r="N227" s="18"/>
      <c r="O227" s="18"/>
    </row>
    <row r="228" spans="1:16" ht="15" customHeight="1" x14ac:dyDescent="0.25">
      <c r="A228" s="149"/>
      <c r="C228" s="390">
        <v>0.65</v>
      </c>
      <c r="D228" s="537">
        <v>1.1499999999999999</v>
      </c>
      <c r="E228" s="538"/>
      <c r="F228" s="368"/>
      <c r="G228" s="368"/>
      <c r="H228" s="368"/>
      <c r="I228" s="18"/>
      <c r="J228" s="139"/>
      <c r="K228" s="139"/>
      <c r="L228" s="140"/>
      <c r="M228" s="18"/>
      <c r="N228" s="18"/>
      <c r="O228" s="18"/>
    </row>
    <row r="229" spans="1:16" ht="15" customHeight="1" x14ac:dyDescent="0.25">
      <c r="A229" s="149"/>
      <c r="C229" s="390">
        <v>0.7</v>
      </c>
      <c r="D229" s="537">
        <v>1.1000000000000001</v>
      </c>
      <c r="E229" s="538"/>
      <c r="F229" s="368"/>
      <c r="G229" s="368"/>
      <c r="H229" s="368"/>
      <c r="I229" s="18"/>
      <c r="J229" s="139"/>
      <c r="K229" s="139"/>
      <c r="L229" s="140"/>
      <c r="M229" s="18"/>
      <c r="N229" s="18"/>
      <c r="O229" s="18"/>
    </row>
    <row r="230" spans="1:16" ht="5.0999999999999996" customHeight="1" x14ac:dyDescent="0.25">
      <c r="A230" s="149"/>
      <c r="C230" s="390"/>
      <c r="D230" s="392"/>
      <c r="E230" s="391"/>
      <c r="F230" s="423"/>
      <c r="G230" s="423"/>
      <c r="H230" s="423"/>
      <c r="I230" s="18"/>
      <c r="J230" s="139"/>
      <c r="K230" s="139"/>
      <c r="L230" s="140"/>
      <c r="M230" s="18"/>
      <c r="N230" s="18"/>
      <c r="O230" s="18"/>
    </row>
    <row r="231" spans="1:16" ht="15" customHeight="1" x14ac:dyDescent="0.25">
      <c r="A231" s="149"/>
      <c r="B231" s="24" t="s">
        <v>986</v>
      </c>
      <c r="C231" s="390"/>
      <c r="D231" s="392"/>
      <c r="E231" s="391"/>
      <c r="F231" s="423"/>
      <c r="G231" s="423"/>
      <c r="H231" s="423"/>
      <c r="I231" s="18"/>
      <c r="J231" s="139"/>
      <c r="K231" s="139"/>
      <c r="L231" s="140"/>
      <c r="M231" s="18"/>
      <c r="N231" s="18"/>
      <c r="O231" s="18"/>
    </row>
    <row r="232" spans="1:16" ht="30" customHeight="1" x14ac:dyDescent="0.25">
      <c r="A232" s="149"/>
      <c r="B232" s="24"/>
      <c r="C232" s="836" t="s">
        <v>923</v>
      </c>
      <c r="D232" s="812"/>
      <c r="E232" s="812"/>
      <c r="F232" s="812"/>
      <c r="G232" s="812"/>
      <c r="H232" s="812"/>
      <c r="I232" s="18"/>
      <c r="J232" s="139"/>
      <c r="K232" s="139"/>
      <c r="L232" s="140"/>
      <c r="M232" s="18"/>
      <c r="N232" s="18"/>
      <c r="O232" s="18"/>
    </row>
    <row r="233" spans="1:16" ht="15" customHeight="1" x14ac:dyDescent="0.25">
      <c r="A233" s="149"/>
      <c r="C233" s="390"/>
      <c r="D233" s="511">
        <v>77</v>
      </c>
      <c r="E233" s="18" t="s">
        <v>543</v>
      </c>
      <c r="F233" s="391" t="s">
        <v>924</v>
      </c>
      <c r="G233" s="423"/>
      <c r="H233" s="423"/>
      <c r="I233" s="18"/>
      <c r="J233" s="139"/>
      <c r="K233" s="139"/>
      <c r="L233" s="140"/>
      <c r="M233" s="18"/>
      <c r="N233" s="18"/>
      <c r="O233" s="18"/>
    </row>
    <row r="234" spans="1:16" ht="15" customHeight="1" x14ac:dyDescent="0.25">
      <c r="A234" s="149"/>
      <c r="C234" s="390"/>
      <c r="D234" s="511">
        <v>50</v>
      </c>
      <c r="E234" s="18" t="s">
        <v>543</v>
      </c>
      <c r="F234" s="391" t="s">
        <v>911</v>
      </c>
      <c r="G234" s="423"/>
      <c r="H234" s="423"/>
      <c r="I234" s="18"/>
      <c r="J234" s="139"/>
      <c r="K234" s="139"/>
      <c r="L234" s="140"/>
      <c r="M234" s="18"/>
      <c r="N234" s="18"/>
      <c r="O234" s="18"/>
    </row>
    <row r="235" spans="1:16" ht="15" customHeight="1" x14ac:dyDescent="0.25">
      <c r="A235" s="149"/>
      <c r="C235" s="390"/>
      <c r="D235" s="537">
        <f>G244/G240</f>
        <v>0.27932785263455778</v>
      </c>
      <c r="E235" s="529"/>
      <c r="F235" s="391" t="s">
        <v>921</v>
      </c>
      <c r="G235" s="423"/>
      <c r="H235" s="423"/>
      <c r="I235" s="18"/>
      <c r="J235" s="139"/>
      <c r="K235" s="139"/>
      <c r="L235" s="140"/>
      <c r="M235" s="18"/>
      <c r="N235" s="18"/>
      <c r="O235" s="18"/>
    </row>
    <row r="236" spans="1:16" s="19" customFormat="1" ht="15" hidden="1" customHeight="1" x14ac:dyDescent="0.25">
      <c r="A236" s="22" t="s">
        <v>56</v>
      </c>
      <c r="B236" s="31"/>
      <c r="C236" s="471"/>
      <c r="D236" s="539">
        <f>D234/D233</f>
        <v>0.64935064935064934</v>
      </c>
      <c r="E236" s="539"/>
      <c r="F236" s="478" t="s">
        <v>913</v>
      </c>
      <c r="J236" s="48"/>
      <c r="K236" s="48"/>
      <c r="L236" s="137"/>
      <c r="P236" s="33"/>
    </row>
    <row r="237" spans="1:16" s="19" customFormat="1" ht="15" hidden="1" customHeight="1" x14ac:dyDescent="0.25">
      <c r="A237" s="22" t="s">
        <v>56</v>
      </c>
      <c r="B237" s="31"/>
      <c r="C237" s="471"/>
      <c r="D237" s="540" t="s">
        <v>63</v>
      </c>
      <c r="E237" s="540" t="s">
        <v>64</v>
      </c>
      <c r="F237" s="428" t="s">
        <v>65</v>
      </c>
      <c r="J237" s="48"/>
      <c r="K237" s="48"/>
      <c r="L237" s="137"/>
      <c r="P237" s="33"/>
    </row>
    <row r="238" spans="1:16" s="19" customFormat="1" ht="15" hidden="1" customHeight="1" x14ac:dyDescent="0.25">
      <c r="A238" s="22" t="s">
        <v>56</v>
      </c>
      <c r="B238" s="31"/>
      <c r="C238" s="471"/>
      <c r="D238" s="541">
        <v>2.4059436665997298</v>
      </c>
      <c r="E238" s="541">
        <v>8.8169255763859695</v>
      </c>
      <c r="F238" s="472">
        <v>88.777130757014305</v>
      </c>
      <c r="G238" s="473">
        <f>SUM(D238:F238)</f>
        <v>100</v>
      </c>
      <c r="H238" s="93" t="s">
        <v>915</v>
      </c>
      <c r="J238" s="48"/>
      <c r="K238" s="48"/>
      <c r="L238" s="137"/>
      <c r="P238" s="33"/>
    </row>
    <row r="239" spans="1:16" s="19" customFormat="1" ht="15" hidden="1" customHeight="1" x14ac:dyDescent="0.25">
      <c r="A239" s="22" t="s">
        <v>56</v>
      </c>
      <c r="B239" s="31"/>
      <c r="C239" s="471"/>
      <c r="D239" s="542">
        <f>'Data-beregninger'!C13/1000000</f>
        <v>35.370154666703996</v>
      </c>
      <c r="E239" s="543">
        <f>'Data-beregninger'!C16/1000000</f>
        <v>9.5306078078639995</v>
      </c>
      <c r="F239" s="436">
        <f>'Data-beregninger'!C17/1000000</f>
        <v>0.71820526034400012</v>
      </c>
      <c r="H239" s="19" t="s">
        <v>912</v>
      </c>
      <c r="J239" s="48"/>
      <c r="K239" s="48"/>
      <c r="L239" s="137"/>
      <c r="P239" s="33"/>
    </row>
    <row r="240" spans="1:16" s="19" customFormat="1" ht="15" hidden="1" customHeight="1" x14ac:dyDescent="0.25">
      <c r="A240" s="22" t="s">
        <v>56</v>
      </c>
      <c r="B240" s="31"/>
      <c r="C240" s="471"/>
      <c r="D240" s="544">
        <f>D239*D238</f>
        <v>85.098599607009362</v>
      </c>
      <c r="E240" s="544">
        <f>E239*E238</f>
        <v>84.03065973965991</v>
      </c>
      <c r="F240" s="474">
        <f>F239*F238</f>
        <v>63.760202307934797</v>
      </c>
      <c r="G240" s="475">
        <f>SUM(D240:F240)</f>
        <v>232.88946165460408</v>
      </c>
      <c r="H240" s="446" t="s">
        <v>918</v>
      </c>
      <c r="J240" s="48"/>
      <c r="K240" s="48"/>
      <c r="L240" s="137"/>
      <c r="P240" s="33"/>
    </row>
    <row r="241" spans="1:16" s="19" customFormat="1" ht="15" hidden="1" customHeight="1" x14ac:dyDescent="0.25">
      <c r="A241" s="22" t="s">
        <v>56</v>
      </c>
      <c r="B241" s="31"/>
      <c r="C241" s="471"/>
      <c r="D241" s="539">
        <f>'Data-beregninger'!C43</f>
        <v>4.5999999999999996</v>
      </c>
      <c r="E241" s="539">
        <f>'Data-beregninger'!D43</f>
        <v>3.5</v>
      </c>
      <c r="F241" s="476">
        <f>'Data-beregninger'!E43</f>
        <v>1.4</v>
      </c>
      <c r="H241" s="19" t="s">
        <v>914</v>
      </c>
      <c r="J241" s="48"/>
      <c r="K241" s="48"/>
      <c r="L241" s="137"/>
      <c r="P241" s="33"/>
    </row>
    <row r="242" spans="1:16" s="19" customFormat="1" ht="15" hidden="1" customHeight="1" x14ac:dyDescent="0.25">
      <c r="A242" s="22" t="s">
        <v>56</v>
      </c>
      <c r="B242" s="31"/>
      <c r="C242" s="471"/>
      <c r="D242" s="539">
        <f>$D236^D241</f>
        <v>0.13721597761409454</v>
      </c>
      <c r="E242" s="539">
        <f>$D236^E241</f>
        <v>0.22063655968609616</v>
      </c>
      <c r="F242" s="476">
        <f>$D236^F241</f>
        <v>0.54635005461840991</v>
      </c>
      <c r="H242" s="19" t="s">
        <v>916</v>
      </c>
      <c r="J242" s="48"/>
      <c r="K242" s="48"/>
      <c r="L242" s="137"/>
      <c r="P242" s="33"/>
    </row>
    <row r="243" spans="1:16" s="19" customFormat="1" ht="15" hidden="1" customHeight="1" x14ac:dyDescent="0.25">
      <c r="A243" s="22" t="s">
        <v>56</v>
      </c>
      <c r="B243" s="31"/>
      <c r="C243" s="471"/>
      <c r="D243" s="545">
        <f t="shared" ref="D243:F244" si="10">D242*D238</f>
        <v>0.33013391229692107</v>
      </c>
      <c r="E243" s="545">
        <f t="shared" si="10"/>
        <v>1.9453361261821507</v>
      </c>
      <c r="F243" s="477">
        <f t="shared" si="10"/>
        <v>48.503390237960481</v>
      </c>
      <c r="G243" s="473">
        <f>SUM(D243:F243)</f>
        <v>50.778860276439552</v>
      </c>
      <c r="H243" s="93" t="s">
        <v>917</v>
      </c>
      <c r="J243" s="48"/>
      <c r="K243" s="48"/>
      <c r="L243" s="137"/>
      <c r="P243" s="33"/>
    </row>
    <row r="244" spans="1:16" s="19" customFormat="1" ht="15" hidden="1" customHeight="1" x14ac:dyDescent="0.25">
      <c r="A244" s="22" t="s">
        <v>56</v>
      </c>
      <c r="B244" s="31"/>
      <c r="C244" s="471"/>
      <c r="D244" s="544">
        <f t="shared" si="10"/>
        <v>11.676887538666191</v>
      </c>
      <c r="E244" s="544">
        <f t="shared" si="10"/>
        <v>18.540235673111511</v>
      </c>
      <c r="F244" s="474">
        <f t="shared" si="10"/>
        <v>34.835390013421041</v>
      </c>
      <c r="G244" s="475">
        <f>SUM(D244:F244)</f>
        <v>65.052513225198737</v>
      </c>
      <c r="H244" s="446" t="s">
        <v>919</v>
      </c>
      <c r="J244" s="48"/>
      <c r="K244" s="48"/>
      <c r="L244" s="137"/>
      <c r="P244" s="33"/>
    </row>
    <row r="245" spans="1:16" ht="5.0999999999999996" customHeight="1" x14ac:dyDescent="0.25">
      <c r="A245" s="149"/>
      <c r="C245" s="390"/>
      <c r="D245" s="546"/>
      <c r="E245" s="538"/>
      <c r="F245" s="368"/>
      <c r="G245" s="368"/>
      <c r="H245" s="368"/>
      <c r="I245" s="18"/>
      <c r="J245" s="139"/>
      <c r="K245" s="139"/>
      <c r="L245" s="140"/>
      <c r="M245" s="18"/>
      <c r="N245" s="18"/>
      <c r="O245" s="18"/>
    </row>
    <row r="246" spans="1:16" ht="15" customHeight="1" x14ac:dyDescent="0.25">
      <c r="A246" s="149"/>
      <c r="B246" s="24" t="s">
        <v>710</v>
      </c>
      <c r="C246" s="390"/>
      <c r="D246" s="547" t="s">
        <v>671</v>
      </c>
      <c r="E246" s="547" t="s">
        <v>672</v>
      </c>
      <c r="F246" s="65"/>
      <c r="G246" s="53"/>
      <c r="I246" s="18"/>
      <c r="J246" s="139"/>
      <c r="K246" s="139"/>
      <c r="L246" s="140"/>
      <c r="M246" s="18"/>
      <c r="N246" s="18"/>
      <c r="O246" s="18"/>
    </row>
    <row r="247" spans="1:16" ht="15" customHeight="1" x14ac:dyDescent="0.25">
      <c r="A247" s="149"/>
      <c r="C247" s="390" t="s">
        <v>673</v>
      </c>
      <c r="D247" s="548">
        <v>1.46</v>
      </c>
      <c r="E247" s="548">
        <v>1.42</v>
      </c>
      <c r="F247" s="833" t="s">
        <v>676</v>
      </c>
      <c r="G247" s="834"/>
      <c r="H247" s="834"/>
      <c r="I247" s="18"/>
      <c r="J247" s="139"/>
      <c r="K247" s="139"/>
      <c r="L247" s="140"/>
      <c r="M247" s="18"/>
      <c r="N247" s="18"/>
      <c r="O247" s="18"/>
    </row>
    <row r="248" spans="1:16" ht="15" customHeight="1" x14ac:dyDescent="0.25">
      <c r="A248" s="149"/>
      <c r="C248" s="390" t="s">
        <v>674</v>
      </c>
      <c r="D248" s="548">
        <v>1.17</v>
      </c>
      <c r="E248" s="548">
        <v>1.41</v>
      </c>
      <c r="F248" s="834"/>
      <c r="G248" s="834"/>
      <c r="H248" s="834"/>
      <c r="I248" s="18"/>
      <c r="J248" s="139"/>
      <c r="K248" s="139"/>
      <c r="L248" s="140"/>
      <c r="M248" s="18"/>
      <c r="N248" s="18"/>
      <c r="O248" s="18"/>
    </row>
    <row r="249" spans="1:16" ht="15" customHeight="1" x14ac:dyDescent="0.25">
      <c r="A249" s="149"/>
      <c r="C249" s="390" t="s">
        <v>675</v>
      </c>
      <c r="D249" s="548">
        <v>1.02</v>
      </c>
      <c r="E249" s="548">
        <v>1.1100000000000001</v>
      </c>
      <c r="F249" s="368" t="s">
        <v>677</v>
      </c>
      <c r="G249" s="368"/>
      <c r="H249" s="368"/>
      <c r="I249" s="18"/>
      <c r="J249" s="139"/>
      <c r="K249" s="139"/>
      <c r="L249" s="140"/>
      <c r="M249" s="18"/>
      <c r="N249" s="18"/>
      <c r="O249" s="18"/>
    </row>
    <row r="250" spans="1:16" ht="5.0999999999999996" customHeight="1" x14ac:dyDescent="0.25">
      <c r="A250" s="149"/>
      <c r="C250" s="24"/>
      <c r="D250" s="64"/>
      <c r="E250" s="69"/>
      <c r="F250" s="70"/>
      <c r="G250" s="70"/>
      <c r="H250" s="70"/>
      <c r="I250" s="18"/>
      <c r="J250" s="139"/>
      <c r="K250" s="139"/>
      <c r="L250" s="140"/>
      <c r="M250" s="18"/>
      <c r="N250" s="18"/>
      <c r="O250" s="18"/>
    </row>
    <row r="251" spans="1:16" ht="15.75" x14ac:dyDescent="0.25">
      <c r="A251" s="145" t="s">
        <v>804</v>
      </c>
      <c r="C251" s="24"/>
      <c r="D251" s="18"/>
      <c r="E251" s="18"/>
      <c r="F251" s="18"/>
      <c r="G251" s="18"/>
      <c r="I251" s="18"/>
      <c r="J251" s="139"/>
      <c r="K251" s="139"/>
      <c r="L251" s="140"/>
      <c r="M251" s="18"/>
      <c r="N251" s="18"/>
      <c r="O251" s="18"/>
    </row>
    <row r="252" spans="1:16" ht="5.0999999999999996" customHeight="1" x14ac:dyDescent="0.25">
      <c r="A252" s="149"/>
      <c r="C252" s="362"/>
      <c r="D252" s="363"/>
      <c r="E252" s="363"/>
      <c r="F252" s="363"/>
      <c r="G252" s="363"/>
      <c r="H252" s="363"/>
      <c r="I252" s="18"/>
      <c r="J252" s="139"/>
      <c r="K252" s="139"/>
      <c r="L252" s="140"/>
      <c r="M252" s="18"/>
      <c r="N252" s="18"/>
      <c r="O252" s="18"/>
    </row>
    <row r="253" spans="1:16" x14ac:dyDescent="0.25">
      <c r="A253" s="149"/>
      <c r="B253" s="24" t="s">
        <v>883</v>
      </c>
      <c r="D253" s="18"/>
      <c r="E253" s="18"/>
      <c r="F253" s="18"/>
      <c r="G253" s="18"/>
      <c r="I253" s="18"/>
      <c r="J253" s="139"/>
      <c r="K253" s="139"/>
      <c r="L253" s="140"/>
      <c r="M253" s="18"/>
      <c r="N253" s="18"/>
      <c r="O253" s="18"/>
    </row>
    <row r="254" spans="1:16" ht="63" customHeight="1" x14ac:dyDescent="0.25">
      <c r="A254" s="149"/>
      <c r="C254" s="813" t="s">
        <v>1017</v>
      </c>
      <c r="D254" s="812"/>
      <c r="E254" s="812"/>
      <c r="F254" s="812"/>
      <c r="G254" s="812"/>
      <c r="H254" s="812"/>
      <c r="I254" s="18"/>
      <c r="J254" s="139"/>
      <c r="K254" s="139"/>
      <c r="L254" s="140"/>
      <c r="M254" s="18"/>
      <c r="N254" s="18"/>
      <c r="O254" s="18"/>
    </row>
    <row r="255" spans="1:16" ht="5.0999999999999996" customHeight="1" x14ac:dyDescent="0.25">
      <c r="A255" s="149"/>
      <c r="C255" s="24"/>
      <c r="D255" s="64"/>
      <c r="E255" s="366"/>
      <c r="F255" s="366"/>
      <c r="G255" s="366"/>
      <c r="H255" s="366"/>
      <c r="I255" s="18"/>
      <c r="J255" s="139"/>
      <c r="K255" s="139"/>
      <c r="L255" s="140"/>
      <c r="M255" s="18"/>
      <c r="N255" s="18"/>
      <c r="O255" s="18"/>
    </row>
    <row r="256" spans="1:16" x14ac:dyDescent="0.25">
      <c r="A256" s="149"/>
      <c r="C256" s="395" t="s">
        <v>684</v>
      </c>
      <c r="D256" s="512">
        <v>110</v>
      </c>
      <c r="E256" s="72" t="s">
        <v>115</v>
      </c>
      <c r="F256" s="72" t="s">
        <v>977</v>
      </c>
      <c r="G256" s="53"/>
      <c r="I256" s="18"/>
      <c r="J256" s="139"/>
      <c r="K256" s="139"/>
      <c r="L256" s="140"/>
      <c r="M256" s="18"/>
      <c r="N256" s="18"/>
      <c r="O256" s="18"/>
    </row>
    <row r="257" spans="1:15" x14ac:dyDescent="0.25">
      <c r="A257" s="149"/>
      <c r="C257" s="395" t="s">
        <v>685</v>
      </c>
      <c r="D257" s="512">
        <v>100</v>
      </c>
      <c r="E257" s="72" t="s">
        <v>115</v>
      </c>
      <c r="F257" s="72" t="s">
        <v>678</v>
      </c>
      <c r="G257" s="53"/>
      <c r="I257" s="18"/>
      <c r="J257" s="139"/>
      <c r="K257" s="139"/>
      <c r="L257" s="140"/>
      <c r="M257" s="18"/>
      <c r="N257" s="18"/>
      <c r="O257" s="18"/>
    </row>
    <row r="258" spans="1:15" x14ac:dyDescent="0.25">
      <c r="A258" s="149"/>
      <c r="C258" s="395" t="s">
        <v>686</v>
      </c>
      <c r="D258" s="549">
        <f>IF(D256=D257,0,-0.0058*(D257-D256)^2+0.2781*(D257-D256)-0.2343)</f>
        <v>-3.5953000000000004</v>
      </c>
      <c r="E258" s="72" t="s">
        <v>115</v>
      </c>
      <c r="F258" s="72" t="s">
        <v>680</v>
      </c>
      <c r="G258" s="53"/>
      <c r="I258" s="18"/>
      <c r="J258" s="139"/>
      <c r="K258" s="139"/>
      <c r="L258" s="140"/>
      <c r="M258" s="18"/>
      <c r="N258" s="18"/>
      <c r="O258" s="18"/>
    </row>
    <row r="259" spans="1:15" x14ac:dyDescent="0.25">
      <c r="A259" s="149"/>
      <c r="C259" s="395" t="s">
        <v>978</v>
      </c>
      <c r="D259" s="512">
        <v>94.9</v>
      </c>
      <c r="E259" s="72" t="s">
        <v>115</v>
      </c>
      <c r="F259" s="72" t="s">
        <v>679</v>
      </c>
      <c r="G259" s="53"/>
      <c r="I259" s="18"/>
      <c r="J259" s="139"/>
      <c r="K259" s="139"/>
      <c r="L259" s="140"/>
      <c r="M259" s="18"/>
      <c r="N259" s="18"/>
      <c r="O259" s="18"/>
    </row>
    <row r="260" spans="1:15" x14ac:dyDescent="0.25">
      <c r="A260" s="149"/>
      <c r="C260" s="395" t="s">
        <v>687</v>
      </c>
      <c r="D260" s="550">
        <f>100*(-1+(D259+D258)/D259)</f>
        <v>-3.7885142255005166</v>
      </c>
      <c r="E260" s="72" t="s">
        <v>61</v>
      </c>
      <c r="F260" s="72" t="s">
        <v>688</v>
      </c>
      <c r="G260" s="53"/>
      <c r="I260" s="18"/>
      <c r="J260" s="139"/>
      <c r="K260" s="139"/>
      <c r="L260" s="140"/>
      <c r="M260" s="18"/>
      <c r="N260" s="18"/>
      <c r="O260" s="18"/>
    </row>
    <row r="261" spans="1:15" x14ac:dyDescent="0.25">
      <c r="A261" s="149"/>
      <c r="C261" s="24"/>
      <c r="D261" s="550">
        <f>100*(-1+(AVERAGE(D257,D259+D258))/D259)</f>
        <v>0.79278187565858804</v>
      </c>
      <c r="E261" s="365" t="s">
        <v>61</v>
      </c>
      <c r="F261" s="833" t="s">
        <v>850</v>
      </c>
      <c r="G261" s="835"/>
      <c r="H261" s="835"/>
      <c r="I261" s="18"/>
      <c r="J261" s="139"/>
      <c r="K261" s="139"/>
      <c r="L261" s="140"/>
      <c r="M261" s="18"/>
      <c r="N261" s="18"/>
      <c r="O261" s="18"/>
    </row>
    <row r="262" spans="1:15" ht="5.0999999999999996" customHeight="1" x14ac:dyDescent="0.25">
      <c r="A262" s="149"/>
      <c r="C262" s="24"/>
      <c r="D262" s="64"/>
      <c r="E262" s="366"/>
      <c r="F262" s="833"/>
      <c r="G262" s="835"/>
      <c r="H262" s="835"/>
      <c r="I262" s="18"/>
      <c r="J262" s="139"/>
      <c r="K262" s="139"/>
      <c r="L262" s="140"/>
      <c r="M262" s="18"/>
      <c r="N262" s="18"/>
      <c r="O262" s="18"/>
    </row>
    <row r="263" spans="1:15" x14ac:dyDescent="0.25">
      <c r="A263" s="149"/>
      <c r="B263" s="18"/>
      <c r="D263" s="64"/>
      <c r="E263" s="419"/>
      <c r="F263" s="833"/>
      <c r="G263" s="835"/>
      <c r="H263" s="835"/>
      <c r="I263" s="18"/>
      <c r="J263" s="139"/>
      <c r="K263" s="139"/>
      <c r="L263" s="140"/>
      <c r="M263" s="18"/>
      <c r="N263" s="18"/>
      <c r="O263" s="18"/>
    </row>
    <row r="264" spans="1:15" x14ac:dyDescent="0.25">
      <c r="A264" s="149"/>
      <c r="B264" s="24" t="s">
        <v>851</v>
      </c>
      <c r="C264" s="24"/>
      <c r="D264" s="64"/>
      <c r="E264" s="194"/>
      <c r="F264" s="835"/>
      <c r="G264" s="835"/>
      <c r="H264" s="835"/>
      <c r="I264" s="18"/>
      <c r="J264" s="139"/>
      <c r="K264" s="139"/>
      <c r="L264" s="140"/>
      <c r="M264" s="18"/>
      <c r="N264" s="18"/>
      <c r="O264" s="18"/>
    </row>
    <row r="265" spans="1:15" ht="30" customHeight="1" x14ac:dyDescent="0.25">
      <c r="A265" s="149"/>
      <c r="C265" s="813" t="s">
        <v>852</v>
      </c>
      <c r="D265" s="835"/>
      <c r="E265" s="835"/>
      <c r="F265" s="835"/>
      <c r="G265" s="835"/>
      <c r="H265" s="835"/>
      <c r="I265" s="18"/>
      <c r="J265" s="139"/>
      <c r="K265" s="139"/>
      <c r="L265" s="140"/>
      <c r="M265" s="18"/>
      <c r="N265" s="18"/>
      <c r="O265" s="18"/>
    </row>
    <row r="266" spans="1:15" ht="5.0999999999999996" customHeight="1" x14ac:dyDescent="0.25">
      <c r="A266" s="149"/>
      <c r="C266" s="24"/>
      <c r="D266" s="64"/>
      <c r="E266" s="366"/>
      <c r="F266" s="366"/>
      <c r="G266" s="366"/>
      <c r="H266" s="366"/>
      <c r="I266" s="18"/>
      <c r="J266" s="139"/>
      <c r="K266" s="139"/>
      <c r="L266" s="140"/>
      <c r="M266" s="18"/>
      <c r="N266" s="18"/>
      <c r="O266" s="18"/>
    </row>
    <row r="267" spans="1:15" ht="15" customHeight="1" x14ac:dyDescent="0.25">
      <c r="A267" s="149"/>
      <c r="B267" s="24" t="s">
        <v>711</v>
      </c>
      <c r="D267" s="18"/>
      <c r="E267" s="360"/>
      <c r="F267" s="364"/>
      <c r="G267" s="364"/>
      <c r="H267" s="364"/>
      <c r="I267" s="18"/>
      <c r="J267" s="139"/>
      <c r="K267" s="139"/>
      <c r="L267" s="140"/>
      <c r="M267" s="18"/>
      <c r="N267" s="18"/>
      <c r="O267" s="18"/>
    </row>
    <row r="268" spans="1:15" ht="15" customHeight="1" x14ac:dyDescent="0.25">
      <c r="A268" s="149"/>
      <c r="C268" s="24"/>
      <c r="D268" s="551" t="s">
        <v>145</v>
      </c>
      <c r="E268" s="71" t="s">
        <v>61</v>
      </c>
      <c r="F268" s="72" t="s">
        <v>681</v>
      </c>
      <c r="G268" s="364"/>
      <c r="H268" s="364"/>
      <c r="I268" s="18"/>
      <c r="J268" s="139"/>
      <c r="K268" s="139"/>
      <c r="L268" s="140"/>
      <c r="M268" s="18"/>
      <c r="N268" s="18"/>
      <c r="O268" s="18"/>
    </row>
    <row r="269" spans="1:15" ht="5.0999999999999996" customHeight="1" x14ac:dyDescent="0.25">
      <c r="A269" s="149"/>
      <c r="C269" s="24"/>
      <c r="D269" s="64"/>
      <c r="E269" s="366"/>
      <c r="F269" s="366"/>
      <c r="G269" s="366"/>
      <c r="H269" s="366"/>
      <c r="I269" s="18"/>
      <c r="J269" s="139"/>
      <c r="K269" s="139"/>
      <c r="L269" s="140"/>
      <c r="M269" s="18"/>
      <c r="N269" s="18"/>
      <c r="O269" s="18"/>
    </row>
    <row r="270" spans="1:15" x14ac:dyDescent="0.25">
      <c r="A270" s="149"/>
      <c r="B270" s="24" t="s">
        <v>712</v>
      </c>
      <c r="D270" s="64"/>
      <c r="E270" s="65"/>
      <c r="F270" s="65"/>
      <c r="G270" s="53"/>
      <c r="I270" s="18"/>
      <c r="J270" s="139"/>
      <c r="K270" s="139"/>
      <c r="L270" s="140"/>
      <c r="M270" s="18"/>
      <c r="N270" s="18"/>
      <c r="O270" s="18"/>
    </row>
    <row r="271" spans="1:15" x14ac:dyDescent="0.25">
      <c r="A271" s="149"/>
      <c r="C271" s="24"/>
      <c r="D271" s="551">
        <v>-2.5</v>
      </c>
      <c r="E271" s="71" t="s">
        <v>61</v>
      </c>
      <c r="F271" s="72" t="s">
        <v>682</v>
      </c>
      <c r="G271" s="53"/>
      <c r="I271" s="18"/>
      <c r="J271" s="139"/>
      <c r="K271" s="139"/>
      <c r="L271" s="140"/>
      <c r="M271" s="18"/>
      <c r="N271" s="18"/>
      <c r="O271" s="18"/>
    </row>
    <row r="272" spans="1:15" ht="5.0999999999999996" customHeight="1" x14ac:dyDescent="0.25">
      <c r="A272" s="149"/>
      <c r="C272" s="24"/>
      <c r="D272" s="71"/>
      <c r="E272" s="71"/>
      <c r="F272" s="72"/>
      <c r="G272" s="53"/>
      <c r="I272" s="18"/>
      <c r="J272" s="139"/>
      <c r="K272" s="139"/>
      <c r="L272" s="140"/>
      <c r="M272" s="18"/>
      <c r="N272" s="18"/>
      <c r="O272" s="18"/>
    </row>
    <row r="273" spans="1:15" x14ac:dyDescent="0.25">
      <c r="A273" s="149"/>
      <c r="B273" s="24" t="s">
        <v>897</v>
      </c>
      <c r="D273" s="64"/>
      <c r="E273" s="65"/>
      <c r="F273" s="65"/>
      <c r="G273" s="53"/>
      <c r="I273" s="18"/>
      <c r="J273" s="139"/>
      <c r="K273" s="139"/>
      <c r="L273" s="140"/>
      <c r="M273" s="18"/>
      <c r="N273" s="18"/>
      <c r="O273" s="18"/>
    </row>
    <row r="274" spans="1:15" x14ac:dyDescent="0.25">
      <c r="A274" s="149"/>
      <c r="C274" s="24"/>
      <c r="D274" s="551" t="s">
        <v>898</v>
      </c>
      <c r="E274" s="71" t="s">
        <v>61</v>
      </c>
      <c r="F274" s="72" t="s">
        <v>899</v>
      </c>
      <c r="G274" s="53"/>
      <c r="I274" s="18"/>
      <c r="J274" s="139"/>
      <c r="K274" s="139"/>
      <c r="L274" s="140"/>
      <c r="M274" s="18"/>
      <c r="N274" s="18"/>
      <c r="O274" s="18"/>
    </row>
    <row r="275" spans="1:15" ht="5.0999999999999996" customHeight="1" x14ac:dyDescent="0.25">
      <c r="A275" s="149"/>
      <c r="C275" s="24"/>
      <c r="D275" s="64"/>
      <c r="E275" s="366"/>
      <c r="F275" s="366"/>
      <c r="G275" s="366"/>
      <c r="H275" s="366"/>
      <c r="I275" s="18"/>
      <c r="J275" s="139"/>
      <c r="K275" s="139"/>
      <c r="L275" s="140"/>
      <c r="M275" s="18"/>
      <c r="N275" s="18"/>
      <c r="O275" s="18"/>
    </row>
    <row r="276" spans="1:15" x14ac:dyDescent="0.25">
      <c r="A276" s="149"/>
      <c r="B276" s="24" t="s">
        <v>713</v>
      </c>
      <c r="C276" s="24"/>
      <c r="D276" s="64"/>
      <c r="E276" s="65"/>
      <c r="F276" s="65"/>
      <c r="G276" s="53"/>
      <c r="I276" s="18"/>
      <c r="J276" s="139"/>
      <c r="K276" s="139"/>
      <c r="L276" s="140"/>
      <c r="M276" s="18"/>
      <c r="N276" s="18"/>
      <c r="O276" s="18"/>
    </row>
    <row r="277" spans="1:15" x14ac:dyDescent="0.25">
      <c r="A277" s="149"/>
      <c r="C277" s="24"/>
      <c r="D277" s="551" t="s">
        <v>900</v>
      </c>
      <c r="E277" s="71" t="s">
        <v>61</v>
      </c>
      <c r="F277" s="71" t="s">
        <v>683</v>
      </c>
      <c r="G277" s="53"/>
      <c r="I277" s="18"/>
      <c r="J277" s="139"/>
      <c r="K277" s="139"/>
      <c r="L277" s="140"/>
      <c r="M277" s="18"/>
      <c r="N277" s="18"/>
      <c r="O277" s="18"/>
    </row>
    <row r="278" spans="1:15" ht="5.0999999999999996" customHeight="1" x14ac:dyDescent="0.25">
      <c r="A278" s="149"/>
      <c r="C278" s="24"/>
      <c r="D278" s="64"/>
      <c r="E278" s="366"/>
      <c r="F278" s="366"/>
      <c r="G278" s="366"/>
      <c r="H278" s="366"/>
      <c r="I278" s="18"/>
      <c r="J278" s="139"/>
      <c r="K278" s="139"/>
      <c r="L278" s="140"/>
      <c r="M278" s="18"/>
      <c r="N278" s="18"/>
      <c r="O278" s="18"/>
    </row>
    <row r="279" spans="1:15" x14ac:dyDescent="0.25">
      <c r="A279" s="149"/>
      <c r="B279" s="24" t="s">
        <v>706</v>
      </c>
      <c r="C279" s="24"/>
      <c r="D279" s="64"/>
      <c r="E279" s="65"/>
      <c r="F279" s="65"/>
      <c r="G279" s="53"/>
      <c r="I279" s="18"/>
      <c r="J279" s="139"/>
      <c r="K279" s="139"/>
      <c r="L279" s="140"/>
      <c r="M279" s="18"/>
      <c r="N279" s="18"/>
      <c r="O279" s="18"/>
    </row>
    <row r="280" spans="1:15" ht="30" customHeight="1" x14ac:dyDescent="0.25">
      <c r="A280" s="149"/>
      <c r="C280" s="813" t="s">
        <v>689</v>
      </c>
      <c r="D280" s="829"/>
      <c r="E280" s="829"/>
      <c r="F280" s="829"/>
      <c r="G280" s="829"/>
      <c r="H280" s="829"/>
      <c r="I280" s="18"/>
      <c r="J280" s="139"/>
      <c r="K280" s="139"/>
      <c r="L280" s="140"/>
      <c r="M280" s="18"/>
      <c r="N280" s="18"/>
      <c r="O280" s="18"/>
    </row>
    <row r="281" spans="1:15" ht="15" customHeight="1" x14ac:dyDescent="0.25">
      <c r="A281" s="149"/>
      <c r="C281" s="488" t="s">
        <v>699</v>
      </c>
      <c r="D281" s="489" t="s">
        <v>139</v>
      </c>
      <c r="E281" s="364"/>
      <c r="F281" s="364"/>
      <c r="G281" s="364"/>
      <c r="H281" s="364"/>
      <c r="I281" s="18"/>
      <c r="J281" s="139"/>
      <c r="K281" s="139"/>
      <c r="L281" s="140"/>
      <c r="M281" s="18"/>
      <c r="N281" s="18"/>
      <c r="O281" s="18"/>
    </row>
    <row r="282" spans="1:15" ht="15" customHeight="1" x14ac:dyDescent="0.25">
      <c r="A282" s="149"/>
      <c r="C282" s="490" t="s">
        <v>691</v>
      </c>
      <c r="D282" s="552">
        <v>-7.6</v>
      </c>
      <c r="E282" s="361" t="s">
        <v>61</v>
      </c>
      <c r="F282" s="368" t="s">
        <v>694</v>
      </c>
      <c r="G282" s="364"/>
      <c r="H282" s="364"/>
      <c r="I282" s="18"/>
      <c r="J282" s="139"/>
      <c r="K282" s="139"/>
      <c r="L282" s="140"/>
      <c r="M282" s="18"/>
      <c r="N282" s="18"/>
      <c r="O282" s="18"/>
    </row>
    <row r="283" spans="1:15" ht="15" customHeight="1" x14ac:dyDescent="0.25">
      <c r="A283" s="149"/>
      <c r="C283" s="490" t="s">
        <v>692</v>
      </c>
      <c r="D283" s="552">
        <v>-3.5000000000000004</v>
      </c>
      <c r="E283" s="361" t="s">
        <v>61</v>
      </c>
      <c r="F283" s="368" t="s">
        <v>693</v>
      </c>
      <c r="G283" s="364"/>
      <c r="H283" s="364"/>
      <c r="I283" s="18"/>
      <c r="J283" s="139"/>
      <c r="K283" s="139"/>
      <c r="L283" s="140"/>
      <c r="M283" s="18"/>
      <c r="N283" s="18"/>
      <c r="O283" s="18"/>
    </row>
    <row r="284" spans="1:15" ht="15" customHeight="1" x14ac:dyDescent="0.25">
      <c r="A284" s="149"/>
      <c r="C284" s="490" t="s">
        <v>698</v>
      </c>
      <c r="D284" s="552">
        <v>-5.2</v>
      </c>
      <c r="E284" s="361" t="s">
        <v>61</v>
      </c>
      <c r="F284" s="368" t="s">
        <v>696</v>
      </c>
      <c r="G284" s="364"/>
      <c r="H284" s="364"/>
      <c r="I284" s="18"/>
      <c r="J284" s="139"/>
      <c r="K284" s="139"/>
      <c r="L284" s="140"/>
      <c r="M284" s="18"/>
      <c r="N284" s="18"/>
      <c r="O284" s="18"/>
    </row>
    <row r="285" spans="1:15" ht="15" customHeight="1" x14ac:dyDescent="0.25">
      <c r="A285" s="149"/>
      <c r="C285" s="490" t="s">
        <v>698</v>
      </c>
      <c r="D285" s="552">
        <v>-9.5</v>
      </c>
      <c r="E285" s="361" t="s">
        <v>61</v>
      </c>
      <c r="F285" s="368" t="s">
        <v>695</v>
      </c>
      <c r="G285" s="364"/>
      <c r="H285" s="364"/>
      <c r="I285" s="18"/>
      <c r="J285" s="139"/>
      <c r="K285" s="139"/>
      <c r="L285" s="140"/>
      <c r="M285" s="18"/>
      <c r="N285" s="18"/>
      <c r="O285" s="18"/>
    </row>
    <row r="286" spans="1:15" ht="15" customHeight="1" x14ac:dyDescent="0.25">
      <c r="A286" s="149"/>
      <c r="C286" s="490" t="s">
        <v>494</v>
      </c>
      <c r="D286" s="552">
        <v>-12.4</v>
      </c>
      <c r="E286" s="361" t="s">
        <v>61</v>
      </c>
      <c r="F286" s="368" t="s">
        <v>697</v>
      </c>
      <c r="G286" s="364"/>
      <c r="H286" s="364"/>
      <c r="I286" s="18"/>
      <c r="J286" s="139"/>
      <c r="K286" s="139"/>
      <c r="L286" s="140"/>
      <c r="M286" s="18"/>
      <c r="N286" s="18"/>
      <c r="O286" s="18"/>
    </row>
    <row r="287" spans="1:15" ht="15" customHeight="1" x14ac:dyDescent="0.25">
      <c r="A287" s="149"/>
      <c r="C287" s="490" t="s">
        <v>495</v>
      </c>
      <c r="D287" s="552">
        <v>-7.1</v>
      </c>
      <c r="E287" s="361" t="s">
        <v>61</v>
      </c>
      <c r="F287" s="368" t="s">
        <v>697</v>
      </c>
      <c r="G287" s="364"/>
      <c r="H287" s="364"/>
      <c r="I287" s="18"/>
      <c r="J287" s="139"/>
      <c r="K287" s="139"/>
      <c r="L287" s="140"/>
      <c r="M287" s="18"/>
      <c r="N287" s="18"/>
      <c r="O287" s="18"/>
    </row>
    <row r="288" spans="1:15" ht="15" customHeight="1" x14ac:dyDescent="0.25">
      <c r="A288" s="149"/>
      <c r="C288" s="490" t="s">
        <v>496</v>
      </c>
      <c r="D288" s="552">
        <v>-0.2</v>
      </c>
      <c r="E288" s="361" t="s">
        <v>61</v>
      </c>
      <c r="F288" s="368" t="s">
        <v>697</v>
      </c>
      <c r="G288" s="364"/>
      <c r="H288" s="364"/>
      <c r="I288" s="18"/>
      <c r="J288" s="139"/>
      <c r="K288" s="139"/>
      <c r="L288" s="140"/>
      <c r="M288" s="18"/>
      <c r="N288" s="18"/>
      <c r="O288" s="18"/>
    </row>
    <row r="289" spans="1:15" ht="15" customHeight="1" x14ac:dyDescent="0.25">
      <c r="A289" s="149"/>
      <c r="C289" s="490" t="s">
        <v>497</v>
      </c>
      <c r="D289" s="552">
        <v>-5</v>
      </c>
      <c r="E289" s="361" t="s">
        <v>61</v>
      </c>
      <c r="F289" s="368" t="s">
        <v>697</v>
      </c>
      <c r="G289" s="364"/>
      <c r="H289" s="364"/>
      <c r="I289" s="18"/>
      <c r="J289" s="139"/>
      <c r="K289" s="139"/>
      <c r="L289" s="140"/>
      <c r="M289" s="18"/>
      <c r="N289" s="18"/>
      <c r="O289" s="18"/>
    </row>
    <row r="290" spans="1:15" ht="15" customHeight="1" x14ac:dyDescent="0.25">
      <c r="A290" s="149"/>
      <c r="C290" s="490" t="s">
        <v>498</v>
      </c>
      <c r="D290" s="552">
        <v>-3.5999999999999996</v>
      </c>
      <c r="E290" s="361" t="s">
        <v>61</v>
      </c>
      <c r="F290" s="368" t="s">
        <v>697</v>
      </c>
      <c r="G290" s="364"/>
      <c r="H290" s="364"/>
      <c r="I290" s="18"/>
      <c r="J290" s="139"/>
      <c r="K290" s="139"/>
      <c r="L290" s="140"/>
      <c r="M290" s="18"/>
      <c r="N290" s="18"/>
      <c r="O290" s="18"/>
    </row>
    <row r="291" spans="1:15" ht="5.0999999999999996" customHeight="1" x14ac:dyDescent="0.25">
      <c r="A291" s="149"/>
      <c r="C291" s="360"/>
      <c r="D291" s="364"/>
      <c r="E291" s="364"/>
      <c r="F291" s="364"/>
      <c r="G291" s="364"/>
      <c r="H291" s="364"/>
      <c r="I291" s="18"/>
      <c r="J291" s="139"/>
      <c r="K291" s="139"/>
      <c r="L291" s="140"/>
      <c r="M291" s="18"/>
      <c r="N291" s="18"/>
      <c r="O291" s="18"/>
    </row>
    <row r="292" spans="1:15" ht="15" customHeight="1" x14ac:dyDescent="0.25">
      <c r="A292" s="149"/>
      <c r="B292" s="24" t="s">
        <v>714</v>
      </c>
      <c r="C292" s="360"/>
      <c r="D292" s="364"/>
      <c r="E292" s="364"/>
      <c r="F292" s="364"/>
      <c r="G292" s="364"/>
      <c r="H292" s="364"/>
      <c r="I292" s="18"/>
      <c r="J292" s="139"/>
      <c r="K292" s="139"/>
      <c r="L292" s="140"/>
      <c r="M292" s="18"/>
      <c r="N292" s="18"/>
      <c r="O292" s="18"/>
    </row>
    <row r="293" spans="1:15" ht="15" customHeight="1" x14ac:dyDescent="0.25">
      <c r="A293" s="149"/>
      <c r="C293" s="396" t="s">
        <v>715</v>
      </c>
      <c r="D293" s="553">
        <v>-11</v>
      </c>
      <c r="E293" s="361" t="s">
        <v>61</v>
      </c>
      <c r="F293" s="423" t="s">
        <v>887</v>
      </c>
      <c r="G293" s="364"/>
      <c r="H293" s="364"/>
      <c r="I293" s="18"/>
      <c r="J293" s="139"/>
      <c r="K293" s="139"/>
      <c r="L293" s="140"/>
      <c r="M293" s="18"/>
      <c r="N293" s="18"/>
      <c r="O293" s="18"/>
    </row>
    <row r="294" spans="1:15" ht="5.0999999999999996" customHeight="1" x14ac:dyDescent="0.25">
      <c r="A294" s="149"/>
      <c r="C294" s="360"/>
      <c r="D294" s="364"/>
      <c r="E294" s="364"/>
      <c r="F294" s="364"/>
      <c r="G294" s="364"/>
      <c r="H294" s="364"/>
      <c r="I294" s="18"/>
      <c r="J294" s="139"/>
      <c r="K294" s="139"/>
      <c r="L294" s="140"/>
      <c r="M294" s="18"/>
      <c r="N294" s="18"/>
      <c r="O294" s="18"/>
    </row>
    <row r="295" spans="1:15" ht="15" customHeight="1" x14ac:dyDescent="0.25">
      <c r="A295" s="149"/>
      <c r="B295" s="24" t="s">
        <v>701</v>
      </c>
      <c r="C295" s="360"/>
      <c r="D295" s="364"/>
      <c r="E295" s="364"/>
      <c r="F295" s="368" t="s">
        <v>702</v>
      </c>
      <c r="G295" s="364"/>
      <c r="H295" s="364"/>
      <c r="I295" s="18"/>
      <c r="J295" s="139"/>
      <c r="K295" s="139"/>
      <c r="L295" s="140"/>
      <c r="M295" s="18"/>
      <c r="N295" s="18"/>
      <c r="O295" s="18"/>
    </row>
    <row r="296" spans="1:15" ht="5.0999999999999996" customHeight="1" x14ac:dyDescent="0.25">
      <c r="A296" s="149"/>
      <c r="C296" s="24"/>
      <c r="D296" s="64"/>
      <c r="E296" s="366"/>
      <c r="F296" s="366"/>
      <c r="G296" s="366"/>
      <c r="H296" s="366"/>
      <c r="I296" s="18"/>
      <c r="J296" s="139"/>
      <c r="K296" s="139"/>
      <c r="L296" s="140"/>
      <c r="M296" s="18"/>
      <c r="N296" s="18"/>
      <c r="O296" s="18"/>
    </row>
    <row r="297" spans="1:15" x14ac:dyDescent="0.25">
      <c r="A297" s="149"/>
      <c r="B297" s="24" t="s">
        <v>903</v>
      </c>
      <c r="C297" s="24"/>
      <c r="D297" s="64"/>
      <c r="E297" s="65"/>
      <c r="F297" s="65"/>
      <c r="G297" s="53"/>
      <c r="I297" s="18"/>
      <c r="J297" s="139"/>
      <c r="K297" s="139"/>
      <c r="L297" s="140"/>
      <c r="M297" s="18"/>
      <c r="N297" s="18"/>
      <c r="O297" s="18"/>
    </row>
    <row r="298" spans="1:15" x14ac:dyDescent="0.25">
      <c r="A298" s="149"/>
      <c r="C298" s="394" t="s">
        <v>735</v>
      </c>
      <c r="D298" s="551" t="s">
        <v>905</v>
      </c>
      <c r="E298" s="71" t="s">
        <v>61</v>
      </c>
      <c r="F298" s="72" t="s">
        <v>904</v>
      </c>
      <c r="G298" s="53"/>
      <c r="I298" s="18"/>
      <c r="J298" s="139"/>
      <c r="K298" s="139"/>
      <c r="L298" s="140"/>
      <c r="M298" s="18"/>
      <c r="N298" s="18"/>
      <c r="O298" s="18"/>
    </row>
    <row r="299" spans="1:15" x14ac:dyDescent="0.25">
      <c r="A299" s="149"/>
      <c r="C299" s="395" t="s">
        <v>736</v>
      </c>
      <c r="D299" s="551" t="s">
        <v>906</v>
      </c>
      <c r="E299" s="71" t="s">
        <v>61</v>
      </c>
      <c r="F299" s="71"/>
      <c r="G299" s="53"/>
      <c r="I299" s="18"/>
      <c r="J299" s="139"/>
      <c r="K299" s="139"/>
      <c r="L299" s="140"/>
      <c r="M299" s="18"/>
      <c r="N299" s="18"/>
      <c r="O299" s="18"/>
    </row>
    <row r="300" spans="1:15" ht="15" customHeight="1" x14ac:dyDescent="0.25">
      <c r="A300" s="149"/>
      <c r="B300" s="24"/>
      <c r="C300" s="395" t="s">
        <v>737</v>
      </c>
      <c r="D300" s="551" t="s">
        <v>907</v>
      </c>
      <c r="E300" s="71" t="s">
        <v>61</v>
      </c>
      <c r="F300" s="423"/>
      <c r="G300" s="421"/>
      <c r="H300" s="421"/>
      <c r="I300" s="18"/>
      <c r="J300" s="139"/>
      <c r="K300" s="139"/>
      <c r="L300" s="140"/>
      <c r="M300" s="18"/>
      <c r="N300" s="18"/>
      <c r="O300" s="18"/>
    </row>
    <row r="301" spans="1:15" ht="3.95" customHeight="1" x14ac:dyDescent="0.25">
      <c r="A301" s="149"/>
      <c r="B301" s="24"/>
      <c r="C301" s="395"/>
      <c r="D301" s="71"/>
      <c r="E301" s="71"/>
      <c r="F301" s="423"/>
      <c r="G301" s="421"/>
      <c r="H301" s="421"/>
      <c r="I301" s="18"/>
      <c r="J301" s="139"/>
      <c r="K301" s="139"/>
      <c r="L301" s="140"/>
      <c r="M301" s="18"/>
      <c r="N301" s="18"/>
      <c r="O301" s="18"/>
    </row>
    <row r="302" spans="1:15" ht="15" customHeight="1" x14ac:dyDescent="0.25">
      <c r="A302" s="149"/>
      <c r="B302" s="24" t="s">
        <v>774</v>
      </c>
      <c r="C302" s="360"/>
      <c r="D302" s="364"/>
      <c r="E302" s="364"/>
      <c r="F302" s="368"/>
      <c r="G302" s="364"/>
      <c r="H302" s="364"/>
      <c r="I302" s="18"/>
      <c r="J302" s="139"/>
      <c r="K302" s="139"/>
      <c r="L302" s="140"/>
      <c r="M302" s="18"/>
      <c r="N302" s="18"/>
      <c r="O302" s="18"/>
    </row>
    <row r="303" spans="1:15" ht="15" customHeight="1" x14ac:dyDescent="0.25">
      <c r="A303" s="149"/>
      <c r="B303" s="24"/>
      <c r="C303" s="360"/>
      <c r="D303" s="553">
        <v>-29</v>
      </c>
      <c r="E303" s="361" t="s">
        <v>61</v>
      </c>
      <c r="F303" s="368" t="s">
        <v>775</v>
      </c>
      <c r="G303" s="364"/>
      <c r="H303" s="364"/>
      <c r="I303" s="18"/>
      <c r="J303" s="139"/>
      <c r="K303" s="139"/>
      <c r="L303" s="140"/>
      <c r="M303" s="18"/>
      <c r="N303" s="18"/>
      <c r="O303" s="18"/>
    </row>
    <row r="304" spans="1:15" ht="15" customHeight="1" x14ac:dyDescent="0.25">
      <c r="A304" s="149"/>
      <c r="C304" s="24"/>
      <c r="D304" s="553">
        <v>-9</v>
      </c>
      <c r="E304" s="361" t="s">
        <v>61</v>
      </c>
      <c r="F304" s="71" t="s">
        <v>776</v>
      </c>
      <c r="G304" s="53"/>
      <c r="I304" s="18"/>
      <c r="J304" s="139"/>
      <c r="K304" s="139"/>
      <c r="L304" s="140"/>
      <c r="M304" s="18"/>
      <c r="N304" s="18"/>
      <c r="O304" s="18"/>
    </row>
    <row r="305" spans="1:15" ht="15" customHeight="1" x14ac:dyDescent="0.25">
      <c r="A305" s="145" t="s">
        <v>705</v>
      </c>
      <c r="C305" s="24"/>
      <c r="D305" s="64"/>
      <c r="E305" s="65"/>
      <c r="F305" s="65"/>
      <c r="G305" s="53"/>
      <c r="I305" s="18"/>
      <c r="J305" s="139"/>
      <c r="K305" s="139"/>
      <c r="L305" s="140"/>
      <c r="M305" s="18"/>
      <c r="N305" s="18"/>
      <c r="O305" s="18"/>
    </row>
    <row r="306" spans="1:15" ht="5.0999999999999996" customHeight="1" x14ac:dyDescent="0.25">
      <c r="A306" s="149"/>
      <c r="C306" s="24"/>
      <c r="D306" s="64"/>
      <c r="E306" s="65"/>
      <c r="F306" s="65"/>
      <c r="G306" s="53"/>
      <c r="I306" s="18"/>
      <c r="J306" s="139"/>
      <c r="K306" s="139"/>
      <c r="L306" s="140"/>
      <c r="M306" s="18"/>
      <c r="N306" s="18"/>
      <c r="O306" s="18"/>
    </row>
    <row r="307" spans="1:15" ht="15" customHeight="1" x14ac:dyDescent="0.25">
      <c r="A307" s="149"/>
      <c r="B307" s="24" t="s">
        <v>884</v>
      </c>
      <c r="C307" s="24"/>
      <c r="D307" s="18"/>
      <c r="E307" s="65"/>
      <c r="F307" s="72" t="s">
        <v>885</v>
      </c>
      <c r="G307" s="53"/>
      <c r="I307" s="18"/>
      <c r="J307" s="139"/>
      <c r="K307" s="139"/>
      <c r="L307" s="140"/>
      <c r="M307" s="18"/>
      <c r="N307" s="18"/>
      <c r="O307" s="18"/>
    </row>
    <row r="308" spans="1:15" ht="15" customHeight="1" x14ac:dyDescent="0.25">
      <c r="A308" s="149"/>
      <c r="B308" s="24" t="s">
        <v>716</v>
      </c>
      <c r="C308" s="24"/>
      <c r="D308" s="64"/>
      <c r="E308" s="65"/>
      <c r="F308" s="72" t="s">
        <v>885</v>
      </c>
      <c r="G308" s="53"/>
      <c r="I308" s="18"/>
      <c r="J308" s="139"/>
      <c r="K308" s="139"/>
      <c r="L308" s="140"/>
      <c r="M308" s="18"/>
      <c r="N308" s="18"/>
      <c r="O308" s="18"/>
    </row>
    <row r="309" spans="1:15" ht="15" customHeight="1" x14ac:dyDescent="0.25">
      <c r="A309" s="149"/>
      <c r="B309" s="24" t="s">
        <v>719</v>
      </c>
      <c r="C309" s="24"/>
      <c r="D309" s="64"/>
      <c r="E309" s="416" t="s">
        <v>805</v>
      </c>
      <c r="F309" s="72" t="s">
        <v>807</v>
      </c>
      <c r="G309" s="361"/>
      <c r="H309" s="361"/>
      <c r="I309" s="18"/>
      <c r="J309" s="139"/>
      <c r="K309" s="139"/>
      <c r="L309" s="140"/>
      <c r="M309" s="18"/>
      <c r="N309" s="18"/>
      <c r="O309" s="18"/>
    </row>
    <row r="310" spans="1:15" ht="15" customHeight="1" x14ac:dyDescent="0.25">
      <c r="A310" s="149"/>
      <c r="B310" s="24"/>
      <c r="C310" s="24"/>
      <c r="D310" s="64"/>
      <c r="E310" s="417" t="s">
        <v>806</v>
      </c>
      <c r="F310" s="72" t="s">
        <v>808</v>
      </c>
      <c r="G310" s="361"/>
      <c r="H310" s="361"/>
      <c r="I310" s="18"/>
      <c r="J310" s="139"/>
      <c r="K310" s="139"/>
      <c r="L310" s="140"/>
      <c r="M310" s="18"/>
      <c r="N310" s="18"/>
      <c r="O310" s="18"/>
    </row>
    <row r="311" spans="1:15" ht="15" customHeight="1" x14ac:dyDescent="0.25">
      <c r="A311" s="149"/>
      <c r="B311" s="24" t="s">
        <v>717</v>
      </c>
      <c r="C311" s="24"/>
      <c r="D311" s="64"/>
      <c r="E311" s="65"/>
      <c r="F311" s="72" t="s">
        <v>902</v>
      </c>
      <c r="G311" s="53"/>
      <c r="I311" s="18"/>
      <c r="J311" s="139"/>
      <c r="K311" s="139"/>
      <c r="L311" s="140"/>
      <c r="M311" s="18"/>
      <c r="N311" s="18"/>
      <c r="O311" s="18"/>
    </row>
    <row r="312" spans="1:15" ht="15" customHeight="1" x14ac:dyDescent="0.25">
      <c r="A312" s="149"/>
      <c r="C312" s="24"/>
      <c r="D312" s="553">
        <v>-85</v>
      </c>
      <c r="E312" s="420" t="s">
        <v>61</v>
      </c>
      <c r="F312" s="72" t="s">
        <v>886</v>
      </c>
      <c r="G312" s="53"/>
      <c r="I312" s="18"/>
      <c r="J312" s="139"/>
      <c r="K312" s="139"/>
      <c r="L312" s="140"/>
      <c r="M312" s="18"/>
      <c r="N312" s="18"/>
      <c r="O312" s="18"/>
    </row>
    <row r="313" spans="1:15" ht="15" customHeight="1" x14ac:dyDescent="0.25">
      <c r="A313" s="149"/>
      <c r="C313" s="24"/>
      <c r="D313" s="64"/>
      <c r="E313" s="65"/>
      <c r="F313" s="65"/>
      <c r="G313" s="53"/>
      <c r="I313" s="18"/>
      <c r="J313" s="139"/>
      <c r="K313" s="139"/>
      <c r="L313" s="140"/>
      <c r="M313" s="18"/>
      <c r="N313" s="18"/>
      <c r="O313" s="18"/>
    </row>
    <row r="314" spans="1:15" ht="15" hidden="1" customHeight="1" x14ac:dyDescent="0.25">
      <c r="A314" s="149"/>
      <c r="C314" s="24"/>
      <c r="D314" s="64"/>
      <c r="E314" s="65"/>
      <c r="F314" s="65"/>
      <c r="G314" s="53"/>
      <c r="I314" s="18"/>
      <c r="J314" s="139"/>
      <c r="K314" s="139"/>
      <c r="L314" s="140"/>
      <c r="M314" s="18"/>
      <c r="N314" s="18"/>
      <c r="O314" s="18"/>
    </row>
    <row r="315" spans="1:15" ht="15" hidden="1" customHeight="1" x14ac:dyDescent="0.25">
      <c r="A315" s="149"/>
      <c r="C315" s="24"/>
      <c r="D315" s="64"/>
      <c r="E315" s="65"/>
      <c r="F315" s="65"/>
      <c r="G315" s="53"/>
      <c r="I315" s="18"/>
      <c r="J315" s="139"/>
      <c r="K315" s="139"/>
      <c r="L315" s="140"/>
      <c r="M315" s="18"/>
      <c r="N315" s="18"/>
      <c r="O315" s="18"/>
    </row>
    <row r="316" spans="1:15" ht="15" hidden="1" customHeight="1" x14ac:dyDescent="0.25">
      <c r="A316" s="149"/>
      <c r="C316" s="24"/>
      <c r="D316" s="64"/>
      <c r="E316" s="65"/>
      <c r="F316" s="65"/>
      <c r="G316" s="53"/>
      <c r="I316" s="18"/>
      <c r="J316" s="139"/>
      <c r="K316" s="139"/>
      <c r="L316" s="140"/>
      <c r="M316" s="18"/>
      <c r="N316" s="18"/>
      <c r="O316" s="18"/>
    </row>
    <row r="317" spans="1:15" ht="15" hidden="1" customHeight="1" x14ac:dyDescent="0.25">
      <c r="A317" s="149"/>
      <c r="C317" s="24"/>
      <c r="D317" s="64"/>
      <c r="E317" s="65"/>
      <c r="F317" s="65"/>
      <c r="G317" s="53"/>
      <c r="I317" s="18"/>
      <c r="J317" s="139"/>
      <c r="K317" s="139"/>
      <c r="L317" s="140"/>
      <c r="M317" s="18"/>
      <c r="N317" s="18"/>
      <c r="O317" s="18"/>
    </row>
    <row r="318" spans="1:15" ht="15" hidden="1" customHeight="1" x14ac:dyDescent="0.25">
      <c r="A318" s="149"/>
      <c r="C318" s="24"/>
      <c r="D318" s="64"/>
      <c r="E318" s="65"/>
      <c r="F318" s="65"/>
      <c r="G318" s="53"/>
      <c r="I318" s="18"/>
      <c r="J318" s="139"/>
      <c r="K318" s="139"/>
      <c r="L318" s="140"/>
      <c r="M318" s="18"/>
      <c r="N318" s="18"/>
      <c r="O318" s="18"/>
    </row>
    <row r="319" spans="1:15" ht="15" hidden="1" customHeight="1" x14ac:dyDescent="0.25">
      <c r="A319" s="149"/>
      <c r="C319" s="24"/>
      <c r="D319" s="64"/>
      <c r="E319" s="65"/>
      <c r="F319" s="65"/>
      <c r="G319" s="53"/>
      <c r="I319" s="18"/>
      <c r="J319" s="139"/>
      <c r="K319" s="139"/>
      <c r="L319" s="140"/>
      <c r="M319" s="18"/>
      <c r="N319" s="18"/>
      <c r="O319" s="18"/>
    </row>
    <row r="320" spans="1:15" ht="15" hidden="1" customHeight="1" x14ac:dyDescent="0.25">
      <c r="A320" s="149"/>
      <c r="C320" s="24"/>
      <c r="D320" s="64"/>
      <c r="E320" s="65"/>
      <c r="F320" s="65"/>
      <c r="G320" s="53"/>
      <c r="I320" s="18"/>
      <c r="J320" s="139"/>
      <c r="K320" s="139"/>
      <c r="L320" s="140"/>
      <c r="M320" s="18"/>
      <c r="N320" s="18"/>
      <c r="O320" s="18"/>
    </row>
    <row r="321" spans="1:16" ht="15" hidden="1" customHeight="1" x14ac:dyDescent="0.25">
      <c r="A321" s="149"/>
      <c r="C321" s="24"/>
      <c r="D321" s="64"/>
      <c r="E321" s="65"/>
      <c r="F321" s="65"/>
      <c r="G321" s="53"/>
      <c r="I321" s="18"/>
      <c r="J321" s="139"/>
      <c r="K321" s="139"/>
      <c r="L321" s="140"/>
      <c r="M321" s="18"/>
      <c r="N321" s="18"/>
      <c r="O321" s="18"/>
    </row>
    <row r="322" spans="1:16" ht="15" hidden="1" customHeight="1" x14ac:dyDescent="0.25">
      <c r="A322" s="149"/>
      <c r="C322" s="24"/>
      <c r="D322" s="64"/>
      <c r="E322" s="65"/>
      <c r="F322" s="65"/>
      <c r="G322" s="53"/>
      <c r="I322" s="18"/>
      <c r="J322" s="139"/>
      <c r="K322" s="139"/>
      <c r="L322" s="140"/>
      <c r="M322" s="18"/>
      <c r="N322" s="18"/>
      <c r="O322" s="18"/>
    </row>
    <row r="323" spans="1:16" ht="15" hidden="1" customHeight="1" x14ac:dyDescent="0.25">
      <c r="A323" s="149"/>
      <c r="C323" s="24"/>
      <c r="D323" s="64"/>
      <c r="E323" s="65"/>
      <c r="F323" s="65"/>
      <c r="G323" s="53"/>
      <c r="I323" s="18"/>
      <c r="J323" s="139"/>
      <c r="K323" s="139"/>
      <c r="L323" s="140"/>
      <c r="M323" s="18"/>
      <c r="N323" s="18"/>
      <c r="O323" s="18"/>
    </row>
    <row r="324" spans="1:16" ht="15" hidden="1" customHeight="1" x14ac:dyDescent="0.25">
      <c r="A324" s="149"/>
      <c r="C324" s="24"/>
      <c r="D324" s="64"/>
      <c r="E324" s="65"/>
      <c r="F324" s="65"/>
      <c r="G324" s="53"/>
      <c r="I324" s="18"/>
      <c r="J324" s="139"/>
      <c r="K324" s="139"/>
      <c r="L324" s="140"/>
      <c r="M324" s="18"/>
      <c r="N324" s="18"/>
      <c r="O324" s="18"/>
    </row>
    <row r="325" spans="1:16" ht="15" hidden="1" customHeight="1" x14ac:dyDescent="0.25">
      <c r="A325" s="149"/>
      <c r="C325" s="24"/>
      <c r="D325" s="64"/>
      <c r="E325" s="65"/>
      <c r="F325" s="65"/>
      <c r="G325" s="53"/>
      <c r="I325" s="18"/>
      <c r="J325" s="139"/>
      <c r="K325" s="139"/>
      <c r="L325" s="140"/>
      <c r="M325" s="18"/>
      <c r="N325" s="18"/>
      <c r="O325" s="18"/>
    </row>
    <row r="326" spans="1:16" ht="5.25" hidden="1" customHeight="1" x14ac:dyDescent="0.25">
      <c r="D326" s="368"/>
      <c r="E326" s="20"/>
      <c r="F326" s="20"/>
      <c r="G326" s="53"/>
      <c r="H326" s="21"/>
      <c r="I326" s="20"/>
    </row>
    <row r="327" spans="1:16" s="19" customFormat="1" hidden="1" x14ac:dyDescent="0.25">
      <c r="A327" s="154" t="s">
        <v>57</v>
      </c>
      <c r="B327" s="147"/>
      <c r="C327" s="18"/>
      <c r="G327" s="57"/>
      <c r="H327" s="32"/>
      <c r="J327" s="48"/>
      <c r="K327" s="48"/>
      <c r="L327" s="137"/>
      <c r="P327" s="33"/>
    </row>
    <row r="328" spans="1:16" s="19" customFormat="1" hidden="1" x14ac:dyDescent="0.25">
      <c r="A328" s="147"/>
      <c r="B328" s="147"/>
      <c r="C328" s="155" t="s">
        <v>10</v>
      </c>
      <c r="D328" s="44"/>
      <c r="E328" s="143" t="s">
        <v>51</v>
      </c>
      <c r="F328" s="44"/>
      <c r="G328" s="58" t="s">
        <v>10</v>
      </c>
      <c r="J328" s="141" t="s">
        <v>49</v>
      </c>
      <c r="K328" s="142" t="s">
        <v>47</v>
      </c>
      <c r="L328" s="45" t="s">
        <v>50</v>
      </c>
      <c r="M328" s="45"/>
      <c r="P328" s="33"/>
    </row>
    <row r="329" spans="1:16" s="19" customFormat="1" hidden="1" x14ac:dyDescent="0.25">
      <c r="A329" s="147"/>
      <c r="B329" s="147"/>
      <c r="C329" s="156">
        <v>0</v>
      </c>
      <c r="D329" s="46">
        <f>((100-D$35)/100)^C329</f>
        <v>1</v>
      </c>
      <c r="E329" s="48">
        <v>1</v>
      </c>
      <c r="F329" s="46">
        <f>E329*D329</f>
        <v>1</v>
      </c>
      <c r="G329" s="59"/>
      <c r="J329" s="141"/>
      <c r="K329" s="137"/>
      <c r="M329" s="47"/>
      <c r="P329" s="33"/>
    </row>
    <row r="330" spans="1:16" s="19" customFormat="1" hidden="1" x14ac:dyDescent="0.25">
      <c r="A330" s="147"/>
      <c r="B330" s="147"/>
      <c r="C330" s="156">
        <f t="shared" ref="C330:C354" si="11">C329+1</f>
        <v>1</v>
      </c>
      <c r="D330" s="46">
        <f>1/((100+D$35)/100)^C330</f>
        <v>0.96153846153846145</v>
      </c>
      <c r="E330" s="48">
        <f t="shared" ref="E330:E354" si="12">((100+D$50)/100)^C330</f>
        <v>1.03</v>
      </c>
      <c r="F330" s="46">
        <f t="shared" ref="F330:F354" si="13">E330*D330</f>
        <v>0.99038461538461531</v>
      </c>
      <c r="G330" s="60">
        <v>1</v>
      </c>
      <c r="J330" s="141">
        <f>SUM(D$330:D330)</f>
        <v>0.96153846153846145</v>
      </c>
      <c r="K330" s="141">
        <v>1</v>
      </c>
      <c r="L330" s="77"/>
      <c r="M330" s="47"/>
      <c r="P330" s="33"/>
    </row>
    <row r="331" spans="1:16" s="19" customFormat="1" hidden="1" x14ac:dyDescent="0.25">
      <c r="A331" s="147"/>
      <c r="B331" s="147"/>
      <c r="C331" s="156">
        <f t="shared" si="11"/>
        <v>2</v>
      </c>
      <c r="D331" s="46">
        <f t="shared" ref="D331:D354" si="14">1/((100+D$35)/100)^C331</f>
        <v>0.92455621301775137</v>
      </c>
      <c r="E331" s="48">
        <f t="shared" si="12"/>
        <v>1.0609</v>
      </c>
      <c r="F331" s="46">
        <f t="shared" si="13"/>
        <v>0.98086168639053239</v>
      </c>
      <c r="G331" s="60">
        <f>G330+1</f>
        <v>2</v>
      </c>
      <c r="J331" s="141">
        <f>SUM(D$330:D331)</f>
        <v>1.8860946745562128</v>
      </c>
      <c r="K331" s="141">
        <f t="shared" ref="K331:K354" si="15">K330+1</f>
        <v>2</v>
      </c>
      <c r="L331" s="77">
        <f>SUM(F$330:F331)</f>
        <v>1.9712463017751478</v>
      </c>
      <c r="M331" s="47"/>
      <c r="P331" s="33"/>
    </row>
    <row r="332" spans="1:16" s="19" customFormat="1" hidden="1" x14ac:dyDescent="0.25">
      <c r="A332" s="147"/>
      <c r="B332" s="147"/>
      <c r="C332" s="156">
        <f t="shared" si="11"/>
        <v>3</v>
      </c>
      <c r="D332" s="46">
        <f t="shared" si="14"/>
        <v>0.88899635867091487</v>
      </c>
      <c r="E332" s="48">
        <f t="shared" si="12"/>
        <v>1.092727</v>
      </c>
      <c r="F332" s="46">
        <f t="shared" si="13"/>
        <v>0.97143032402139284</v>
      </c>
      <c r="G332" s="60">
        <f t="shared" ref="G332:G354" si="16">G331+1</f>
        <v>3</v>
      </c>
      <c r="J332" s="141">
        <f>SUM(D$330:D332)</f>
        <v>2.7750910332271275</v>
      </c>
      <c r="K332" s="141">
        <f t="shared" si="15"/>
        <v>3</v>
      </c>
      <c r="L332" s="77">
        <f>SUM(F$330:F332)</f>
        <v>2.9426766257965404</v>
      </c>
      <c r="M332" s="47"/>
      <c r="P332" s="33"/>
    </row>
    <row r="333" spans="1:16" s="19" customFormat="1" hidden="1" x14ac:dyDescent="0.25">
      <c r="A333" s="24"/>
      <c r="B333" s="18"/>
      <c r="C333" s="156">
        <f t="shared" si="11"/>
        <v>4</v>
      </c>
      <c r="D333" s="46">
        <f t="shared" si="14"/>
        <v>0.85480419102972571</v>
      </c>
      <c r="E333" s="48">
        <f t="shared" si="12"/>
        <v>1.1255088099999999</v>
      </c>
      <c r="F333" s="46">
        <f t="shared" si="13"/>
        <v>0.96208964782887918</v>
      </c>
      <c r="G333" s="60">
        <f t="shared" si="16"/>
        <v>4</v>
      </c>
      <c r="J333" s="141">
        <f>SUM(D$330:D333)</f>
        <v>3.6298952242568534</v>
      </c>
      <c r="K333" s="141">
        <f t="shared" si="15"/>
        <v>4</v>
      </c>
      <c r="L333" s="77">
        <f>SUM(F$330:F333)</f>
        <v>3.9047662736254196</v>
      </c>
      <c r="M333" s="47"/>
      <c r="P333" s="33"/>
    </row>
    <row r="334" spans="1:16" s="19" customFormat="1" hidden="1" x14ac:dyDescent="0.25">
      <c r="A334" s="24"/>
      <c r="B334" s="18"/>
      <c r="C334" s="156">
        <f t="shared" si="11"/>
        <v>5</v>
      </c>
      <c r="D334" s="46">
        <f t="shared" si="14"/>
        <v>0.82192710675935154</v>
      </c>
      <c r="E334" s="48">
        <f t="shared" si="12"/>
        <v>1.1592740742999998</v>
      </c>
      <c r="F334" s="46">
        <f t="shared" si="13"/>
        <v>0.95283878583052439</v>
      </c>
      <c r="G334" s="60">
        <f t="shared" si="16"/>
        <v>5</v>
      </c>
      <c r="J334" s="141">
        <f>SUM(D$330:D334)</f>
        <v>4.4518223310162046</v>
      </c>
      <c r="K334" s="141">
        <f t="shared" si="15"/>
        <v>5</v>
      </c>
      <c r="L334" s="77">
        <f>SUM(F$330:F334)</f>
        <v>4.8576050594559437</v>
      </c>
      <c r="M334" s="47"/>
      <c r="P334" s="33"/>
    </row>
    <row r="335" spans="1:16" s="19" customFormat="1" hidden="1" x14ac:dyDescent="0.25">
      <c r="A335" s="24"/>
      <c r="B335" s="18"/>
      <c r="C335" s="156">
        <f t="shared" si="11"/>
        <v>6</v>
      </c>
      <c r="D335" s="46">
        <f t="shared" si="14"/>
        <v>0.79031452573014571</v>
      </c>
      <c r="E335" s="48">
        <f t="shared" si="12"/>
        <v>1.1940522965289999</v>
      </c>
      <c r="F335" s="46">
        <f t="shared" si="13"/>
        <v>0.94367687442830783</v>
      </c>
      <c r="G335" s="60">
        <f t="shared" si="16"/>
        <v>6</v>
      </c>
      <c r="J335" s="141">
        <f>SUM(D$330:D335)</f>
        <v>5.2421368567463507</v>
      </c>
      <c r="K335" s="141">
        <f t="shared" si="15"/>
        <v>6</v>
      </c>
      <c r="L335" s="77">
        <f>SUM(F$330:F335)</f>
        <v>5.8012819338842512</v>
      </c>
      <c r="M335" s="47"/>
      <c r="P335" s="33"/>
    </row>
    <row r="336" spans="1:16" s="19" customFormat="1" hidden="1" x14ac:dyDescent="0.25">
      <c r="A336" s="24"/>
      <c r="B336" s="18"/>
      <c r="C336" s="156">
        <f t="shared" si="11"/>
        <v>7</v>
      </c>
      <c r="D336" s="46">
        <f t="shared" si="14"/>
        <v>0.75991781320206331</v>
      </c>
      <c r="E336" s="48">
        <f t="shared" si="12"/>
        <v>1.22987386542487</v>
      </c>
      <c r="F336" s="46">
        <f t="shared" si="13"/>
        <v>0.93460305832803592</v>
      </c>
      <c r="G336" s="60">
        <f t="shared" si="16"/>
        <v>7</v>
      </c>
      <c r="J336" s="141">
        <f>SUM(D$330:D336)</f>
        <v>6.0020546699484143</v>
      </c>
      <c r="K336" s="141">
        <f t="shared" si="15"/>
        <v>7</v>
      </c>
      <c r="L336" s="77">
        <f>SUM(F$330:F336)</f>
        <v>6.735884992212287</v>
      </c>
      <c r="M336" s="47"/>
      <c r="P336" s="33"/>
    </row>
    <row r="337" spans="1:16" s="19" customFormat="1" hidden="1" x14ac:dyDescent="0.25">
      <c r="A337" s="24"/>
      <c r="B337" s="18"/>
      <c r="C337" s="156">
        <f t="shared" si="11"/>
        <v>8</v>
      </c>
      <c r="D337" s="46">
        <f t="shared" si="14"/>
        <v>0.73069020500198378</v>
      </c>
      <c r="E337" s="48">
        <f t="shared" si="12"/>
        <v>1.2667700813876159</v>
      </c>
      <c r="F337" s="46">
        <f t="shared" si="13"/>
        <v>0.92561649045949679</v>
      </c>
      <c r="G337" s="60">
        <f t="shared" si="16"/>
        <v>8</v>
      </c>
      <c r="J337" s="141">
        <f>SUM(D$330:D337)</f>
        <v>6.7327448749503978</v>
      </c>
      <c r="K337" s="141">
        <f t="shared" si="15"/>
        <v>8</v>
      </c>
      <c r="L337" s="77">
        <f>SUM(F$330:F337)</f>
        <v>7.6615014826717838</v>
      </c>
      <c r="M337" s="47"/>
      <c r="P337" s="33"/>
    </row>
    <row r="338" spans="1:16" s="19" customFormat="1" hidden="1" x14ac:dyDescent="0.25">
      <c r="A338" s="24"/>
      <c r="B338" s="18"/>
      <c r="C338" s="156">
        <f t="shared" si="11"/>
        <v>9</v>
      </c>
      <c r="D338" s="46">
        <f t="shared" si="14"/>
        <v>0.70258673557883045</v>
      </c>
      <c r="E338" s="48">
        <f t="shared" si="12"/>
        <v>1.3047731838292445</v>
      </c>
      <c r="F338" s="46">
        <f t="shared" si="13"/>
        <v>0.91671633189738611</v>
      </c>
      <c r="G338" s="60">
        <f t="shared" si="16"/>
        <v>9</v>
      </c>
      <c r="J338" s="141">
        <f>SUM(D$330:D338)</f>
        <v>7.4353316105292286</v>
      </c>
      <c r="K338" s="141">
        <f t="shared" si="15"/>
        <v>9</v>
      </c>
      <c r="L338" s="77">
        <f>SUM(F$330:F338)</f>
        <v>8.5782178145691699</v>
      </c>
      <c r="M338" s="47"/>
      <c r="P338" s="33"/>
    </row>
    <row r="339" spans="1:16" s="19" customFormat="1" hidden="1" x14ac:dyDescent="0.25">
      <c r="A339" s="24"/>
      <c r="B339" s="18"/>
      <c r="C339" s="156">
        <f t="shared" si="11"/>
        <v>10</v>
      </c>
      <c r="D339" s="46">
        <f t="shared" si="14"/>
        <v>0.67556416882579851</v>
      </c>
      <c r="E339" s="48">
        <f t="shared" si="12"/>
        <v>1.3439163793441218</v>
      </c>
      <c r="F339" s="46">
        <f t="shared" si="13"/>
        <v>0.90790175178298815</v>
      </c>
      <c r="G339" s="60">
        <f t="shared" si="16"/>
        <v>10</v>
      </c>
      <c r="J339" s="141">
        <f>SUM(D$330:D339)</f>
        <v>8.1108957793550278</v>
      </c>
      <c r="K339" s="141">
        <f t="shared" si="15"/>
        <v>10</v>
      </c>
      <c r="L339" s="77">
        <f>SUM(F$330:F339)</f>
        <v>9.4861195663521585</v>
      </c>
      <c r="M339" s="47"/>
      <c r="N339" s="47"/>
      <c r="P339" s="33"/>
    </row>
    <row r="340" spans="1:16" s="19" customFormat="1" hidden="1" x14ac:dyDescent="0.25">
      <c r="A340" s="24"/>
      <c r="B340" s="18"/>
      <c r="C340" s="156">
        <f t="shared" si="11"/>
        <v>11</v>
      </c>
      <c r="D340" s="46">
        <f t="shared" si="14"/>
        <v>0.6495809315632679</v>
      </c>
      <c r="E340" s="48">
        <f t="shared" si="12"/>
        <v>1.3842338707244455</v>
      </c>
      <c r="F340" s="46">
        <f t="shared" si="13"/>
        <v>0.89917192724661343</v>
      </c>
      <c r="G340" s="60">
        <f t="shared" si="16"/>
        <v>11</v>
      </c>
      <c r="J340" s="141">
        <f>SUM(D$330:D340)</f>
        <v>8.7604767109182955</v>
      </c>
      <c r="K340" s="141">
        <f t="shared" si="15"/>
        <v>11</v>
      </c>
      <c r="L340" s="77">
        <f>SUM(F$330:F340)</f>
        <v>10.385291493598771</v>
      </c>
      <c r="M340" s="47"/>
      <c r="N340" s="47"/>
      <c r="P340" s="33"/>
    </row>
    <row r="341" spans="1:16" s="19" customFormat="1" hidden="1" x14ac:dyDescent="0.25">
      <c r="A341" s="24"/>
      <c r="B341" s="18"/>
      <c r="C341" s="156">
        <f t="shared" si="11"/>
        <v>12</v>
      </c>
      <c r="D341" s="46">
        <f t="shared" si="14"/>
        <v>0.62459704958006512</v>
      </c>
      <c r="E341" s="48">
        <f t="shared" si="12"/>
        <v>1.4257608868461786</v>
      </c>
      <c r="F341" s="46">
        <f t="shared" si="13"/>
        <v>0.89052604333078023</v>
      </c>
      <c r="G341" s="60">
        <f t="shared" si="16"/>
        <v>12</v>
      </c>
      <c r="J341" s="141">
        <f>SUM(D$330:D341)</f>
        <v>9.3850737604983614</v>
      </c>
      <c r="K341" s="141">
        <f t="shared" si="15"/>
        <v>12</v>
      </c>
      <c r="L341" s="77">
        <f>SUM(F$330:F341)</f>
        <v>11.275817536929551</v>
      </c>
      <c r="M341" s="47"/>
      <c r="N341" s="47"/>
      <c r="P341" s="33"/>
    </row>
    <row r="342" spans="1:16" s="19" customFormat="1" hidden="1" x14ac:dyDescent="0.25">
      <c r="A342" s="24"/>
      <c r="B342" s="18"/>
      <c r="C342" s="156">
        <f t="shared" si="11"/>
        <v>13</v>
      </c>
      <c r="D342" s="46">
        <f t="shared" si="14"/>
        <v>0.600574086134678</v>
      </c>
      <c r="E342" s="48">
        <f t="shared" si="12"/>
        <v>1.4685337134515639</v>
      </c>
      <c r="F342" s="46">
        <f t="shared" si="13"/>
        <v>0.88196329291413811</v>
      </c>
      <c r="G342" s="60">
        <f t="shared" si="16"/>
        <v>13</v>
      </c>
      <c r="J342" s="141">
        <f>SUM(D$330:D342)</f>
        <v>9.9856478466330394</v>
      </c>
      <c r="K342" s="141">
        <f t="shared" si="15"/>
        <v>13</v>
      </c>
      <c r="L342" s="77">
        <f>SUM(F$330:F342)</f>
        <v>12.15778082984369</v>
      </c>
      <c r="M342" s="47"/>
      <c r="N342" s="47"/>
      <c r="P342" s="33"/>
    </row>
    <row r="343" spans="1:16" s="19" customFormat="1" hidden="1" x14ac:dyDescent="0.25">
      <c r="A343" s="24"/>
      <c r="B343" s="18"/>
      <c r="C343" s="156">
        <f t="shared" si="11"/>
        <v>14</v>
      </c>
      <c r="D343" s="46">
        <f t="shared" si="14"/>
        <v>0.57747508282180582</v>
      </c>
      <c r="E343" s="48">
        <f t="shared" si="12"/>
        <v>1.512589724855111</v>
      </c>
      <c r="F343" s="46">
        <f t="shared" si="13"/>
        <v>0.87348287663611768</v>
      </c>
      <c r="G343" s="60">
        <f t="shared" si="16"/>
        <v>14</v>
      </c>
      <c r="J343" s="141">
        <f>SUM(D$330:D343)</f>
        <v>10.563122929454845</v>
      </c>
      <c r="K343" s="141">
        <f t="shared" si="15"/>
        <v>14</v>
      </c>
      <c r="L343" s="77">
        <f>SUM(F$330:F343)</f>
        <v>13.031263706479807</v>
      </c>
      <c r="M343" s="47"/>
      <c r="N343" s="47"/>
      <c r="P343" s="33"/>
    </row>
    <row r="344" spans="1:16" s="19" customFormat="1" hidden="1" x14ac:dyDescent="0.25">
      <c r="A344" s="24"/>
      <c r="B344" s="18"/>
      <c r="C344" s="156">
        <f t="shared" si="11"/>
        <v>15</v>
      </c>
      <c r="D344" s="46">
        <f t="shared" si="14"/>
        <v>0.55526450271327477</v>
      </c>
      <c r="E344" s="48">
        <f t="shared" si="12"/>
        <v>1.5579674166007644</v>
      </c>
      <c r="F344" s="46">
        <f t="shared" si="13"/>
        <v>0.8650840028223088</v>
      </c>
      <c r="G344" s="60">
        <f t="shared" si="16"/>
        <v>15</v>
      </c>
      <c r="J344" s="141">
        <f>SUM(D$330:D344)</f>
        <v>11.11838743216812</v>
      </c>
      <c r="K344" s="141">
        <f t="shared" si="15"/>
        <v>15</v>
      </c>
      <c r="L344" s="77">
        <f>SUM(F$330:F344)</f>
        <v>13.896347709302116</v>
      </c>
      <c r="M344" s="47"/>
      <c r="N344" s="47"/>
      <c r="P344" s="33"/>
    </row>
    <row r="345" spans="1:16" s="19" customFormat="1" hidden="1" x14ac:dyDescent="0.25">
      <c r="A345" s="24"/>
      <c r="B345" s="18"/>
      <c r="C345" s="156">
        <f t="shared" si="11"/>
        <v>16</v>
      </c>
      <c r="D345" s="46">
        <f t="shared" si="14"/>
        <v>0.53390817568584104</v>
      </c>
      <c r="E345" s="48">
        <f t="shared" si="12"/>
        <v>1.6047064390987871</v>
      </c>
      <c r="F345" s="46">
        <f t="shared" si="13"/>
        <v>0.85676588741055559</v>
      </c>
      <c r="G345" s="60">
        <f t="shared" si="16"/>
        <v>16</v>
      </c>
      <c r="J345" s="141">
        <f>SUM(D$330:D345)</f>
        <v>11.652295607853961</v>
      </c>
      <c r="K345" s="141">
        <f t="shared" si="15"/>
        <v>16</v>
      </c>
      <c r="L345" s="77">
        <f>SUM(F$330:F345)</f>
        <v>14.753113596712671</v>
      </c>
      <c r="M345" s="47"/>
      <c r="N345" s="47"/>
      <c r="P345" s="33"/>
    </row>
    <row r="346" spans="1:16" s="19" customFormat="1" hidden="1" x14ac:dyDescent="0.25">
      <c r="A346" s="24"/>
      <c r="B346" s="18"/>
      <c r="C346" s="156">
        <f t="shared" si="11"/>
        <v>17</v>
      </c>
      <c r="D346" s="46">
        <f t="shared" si="14"/>
        <v>0.51337324585177024</v>
      </c>
      <c r="E346" s="48">
        <f t="shared" si="12"/>
        <v>1.6528476322717507</v>
      </c>
      <c r="F346" s="46">
        <f t="shared" si="13"/>
        <v>0.8485277538777618</v>
      </c>
      <c r="G346" s="60">
        <f t="shared" si="16"/>
        <v>17</v>
      </c>
      <c r="J346" s="141">
        <f>SUM(D$330:D346)</f>
        <v>12.165668853705732</v>
      </c>
      <c r="K346" s="141">
        <f t="shared" si="15"/>
        <v>17</v>
      </c>
      <c r="L346" s="77">
        <f>SUM(F$330:F346)</f>
        <v>15.601641350590434</v>
      </c>
      <c r="M346" s="47"/>
      <c r="N346" s="47"/>
      <c r="P346" s="33"/>
    </row>
    <row r="347" spans="1:16" s="19" customFormat="1" hidden="1" x14ac:dyDescent="0.25">
      <c r="A347" s="24"/>
      <c r="B347" s="18"/>
      <c r="C347" s="156">
        <f t="shared" si="11"/>
        <v>18</v>
      </c>
      <c r="D347" s="46">
        <f t="shared" si="14"/>
        <v>0.49362812101131748</v>
      </c>
      <c r="E347" s="48">
        <f t="shared" si="12"/>
        <v>1.7024330612399032</v>
      </c>
      <c r="F347" s="46">
        <f t="shared" si="13"/>
        <v>0.84036883316739863</v>
      </c>
      <c r="G347" s="60">
        <f t="shared" si="16"/>
        <v>18</v>
      </c>
      <c r="J347" s="141">
        <f>SUM(D$330:D347)</f>
        <v>12.65929697471705</v>
      </c>
      <c r="K347" s="141">
        <f t="shared" si="15"/>
        <v>18</v>
      </c>
      <c r="L347" s="77">
        <f>SUM(F$330:F347)</f>
        <v>16.442010183757834</v>
      </c>
      <c r="M347" s="47"/>
      <c r="N347" s="47"/>
      <c r="P347" s="33"/>
    </row>
    <row r="348" spans="1:16" s="19" customFormat="1" hidden="1" x14ac:dyDescent="0.25">
      <c r="A348" s="24"/>
      <c r="B348" s="18"/>
      <c r="C348" s="156">
        <f t="shared" si="11"/>
        <v>19</v>
      </c>
      <c r="D348" s="46">
        <f t="shared" si="14"/>
        <v>0.47464242404934376</v>
      </c>
      <c r="E348" s="48">
        <f t="shared" si="12"/>
        <v>1.7535060530771003</v>
      </c>
      <c r="F348" s="46">
        <f t="shared" si="13"/>
        <v>0.83228836361771208</v>
      </c>
      <c r="G348" s="60">
        <f t="shared" si="16"/>
        <v>19</v>
      </c>
      <c r="J348" s="141">
        <f>SUM(D$330:D348)</f>
        <v>13.133939398766394</v>
      </c>
      <c r="K348" s="141">
        <f t="shared" si="15"/>
        <v>19</v>
      </c>
      <c r="L348" s="77">
        <f>SUM(F$330:F348)</f>
        <v>17.274298547375544</v>
      </c>
      <c r="M348" s="47"/>
      <c r="N348" s="47"/>
      <c r="P348" s="33"/>
    </row>
    <row r="349" spans="1:16" s="19" customFormat="1" hidden="1" x14ac:dyDescent="0.25">
      <c r="A349" s="24"/>
      <c r="B349" s="18"/>
      <c r="C349" s="156">
        <f t="shared" si="11"/>
        <v>20</v>
      </c>
      <c r="D349" s="46">
        <f t="shared" si="14"/>
        <v>0.45638694620129205</v>
      </c>
      <c r="E349" s="48">
        <f t="shared" si="12"/>
        <v>1.8061112346694133</v>
      </c>
      <c r="F349" s="46">
        <f t="shared" si="13"/>
        <v>0.8242855908906187</v>
      </c>
      <c r="G349" s="60">
        <f t="shared" si="16"/>
        <v>20</v>
      </c>
      <c r="J349" s="141">
        <f>SUM(D$330:D349)</f>
        <v>13.590326344967686</v>
      </c>
      <c r="K349" s="141">
        <f t="shared" si="15"/>
        <v>20</v>
      </c>
      <c r="L349" s="77">
        <f>SUM(F$330:F349)</f>
        <v>18.098584138266162</v>
      </c>
      <c r="M349" s="47"/>
      <c r="N349" s="47"/>
      <c r="P349" s="33"/>
    </row>
    <row r="350" spans="1:16" s="19" customFormat="1" hidden="1" x14ac:dyDescent="0.25">
      <c r="A350" s="24"/>
      <c r="B350" s="18"/>
      <c r="C350" s="156">
        <f t="shared" si="11"/>
        <v>21</v>
      </c>
      <c r="D350" s="46">
        <f t="shared" si="14"/>
        <v>0.43883360211662686</v>
      </c>
      <c r="E350" s="48">
        <f t="shared" si="12"/>
        <v>1.8602945717094954</v>
      </c>
      <c r="F350" s="46">
        <f t="shared" si="13"/>
        <v>0.8163597679012855</v>
      </c>
      <c r="G350" s="60">
        <f t="shared" si="16"/>
        <v>21</v>
      </c>
      <c r="J350" s="141">
        <f>SUM(D$330:D350)</f>
        <v>14.029159947084313</v>
      </c>
      <c r="K350" s="141">
        <f t="shared" si="15"/>
        <v>21</v>
      </c>
      <c r="L350" s="77">
        <f>SUM(F$330:F350)</f>
        <v>18.914943906167448</v>
      </c>
      <c r="M350" s="47"/>
      <c r="N350" s="47"/>
      <c r="P350" s="33"/>
    </row>
    <row r="351" spans="1:16" s="19" customFormat="1" hidden="1" x14ac:dyDescent="0.25">
      <c r="A351" s="24"/>
      <c r="B351" s="18"/>
      <c r="C351" s="156">
        <f t="shared" si="11"/>
        <v>22</v>
      </c>
      <c r="D351" s="46">
        <f t="shared" si="14"/>
        <v>0.42195538665060278</v>
      </c>
      <c r="E351" s="48">
        <f t="shared" si="12"/>
        <v>1.9161034088607805</v>
      </c>
      <c r="F351" s="46">
        <f t="shared" si="13"/>
        <v>0.80851015474838861</v>
      </c>
      <c r="G351" s="60">
        <f t="shared" si="16"/>
        <v>22</v>
      </c>
      <c r="J351" s="141">
        <f>SUM(D$330:D351)</f>
        <v>14.451115333734917</v>
      </c>
      <c r="K351" s="141">
        <f t="shared" si="15"/>
        <v>22</v>
      </c>
      <c r="L351" s="77">
        <f>SUM(F$330:F351)</f>
        <v>19.723454060915838</v>
      </c>
      <c r="M351" s="47"/>
      <c r="N351" s="47"/>
      <c r="P351" s="33"/>
    </row>
    <row r="352" spans="1:16" s="19" customFormat="1" hidden="1" x14ac:dyDescent="0.25">
      <c r="A352" s="24"/>
      <c r="B352" s="18"/>
      <c r="C352" s="156">
        <f t="shared" si="11"/>
        <v>23</v>
      </c>
      <c r="D352" s="46">
        <f t="shared" si="14"/>
        <v>0.40572633331788732</v>
      </c>
      <c r="E352" s="48">
        <f t="shared" si="12"/>
        <v>1.973586511126604</v>
      </c>
      <c r="F352" s="46">
        <f t="shared" si="13"/>
        <v>0.80073601864503885</v>
      </c>
      <c r="G352" s="60">
        <f t="shared" si="16"/>
        <v>23</v>
      </c>
      <c r="J352" s="141">
        <f>SUM(D$330:D352)</f>
        <v>14.856841667052803</v>
      </c>
      <c r="K352" s="141">
        <f t="shared" si="15"/>
        <v>23</v>
      </c>
      <c r="L352" s="77">
        <f>SUM(F$330:F352)</f>
        <v>20.524190079560878</v>
      </c>
      <c r="M352" s="47"/>
      <c r="N352" s="47"/>
      <c r="P352" s="33"/>
    </row>
    <row r="353" spans="1:16" s="19" customFormat="1" hidden="1" x14ac:dyDescent="0.25">
      <c r="A353" s="24"/>
      <c r="B353" s="18"/>
      <c r="C353" s="156">
        <f t="shared" si="11"/>
        <v>24</v>
      </c>
      <c r="D353" s="46">
        <f t="shared" si="14"/>
        <v>0.39012147434412242</v>
      </c>
      <c r="E353" s="48">
        <f t="shared" si="12"/>
        <v>2.0327941064604018</v>
      </c>
      <c r="F353" s="46">
        <f t="shared" si="13"/>
        <v>0.79303663385037493</v>
      </c>
      <c r="G353" s="60">
        <f t="shared" si="16"/>
        <v>24</v>
      </c>
      <c r="J353" s="141">
        <f>SUM(D$330:D353)</f>
        <v>15.246963141396925</v>
      </c>
      <c r="K353" s="141">
        <f t="shared" si="15"/>
        <v>24</v>
      </c>
      <c r="L353" s="77">
        <f>SUM(F$330:F353)</f>
        <v>21.317226713411252</v>
      </c>
      <c r="M353" s="47"/>
      <c r="N353" s="47"/>
      <c r="P353" s="33"/>
    </row>
    <row r="354" spans="1:16" s="19" customFormat="1" hidden="1" x14ac:dyDescent="0.25">
      <c r="A354" s="24"/>
      <c r="B354" s="18"/>
      <c r="C354" s="156">
        <f t="shared" si="11"/>
        <v>25</v>
      </c>
      <c r="D354" s="46">
        <f t="shared" si="14"/>
        <v>0.37511680225396377</v>
      </c>
      <c r="E354" s="48">
        <f t="shared" si="12"/>
        <v>2.0937779296542138</v>
      </c>
      <c r="F354" s="46">
        <f t="shared" si="13"/>
        <v>0.78541128160181339</v>
      </c>
      <c r="G354" s="60">
        <f t="shared" si="16"/>
        <v>25</v>
      </c>
      <c r="J354" s="240">
        <f>SUM(D$330:D354)</f>
        <v>15.622079943650888</v>
      </c>
      <c r="K354" s="141">
        <f t="shared" si="15"/>
        <v>25</v>
      </c>
      <c r="L354" s="77">
        <f>SUM(F$330:F354)</f>
        <v>22.102637995013065</v>
      </c>
      <c r="M354" s="47"/>
      <c r="N354" s="47"/>
      <c r="P354" s="33"/>
    </row>
    <row r="355" spans="1:16" s="19" customFormat="1" hidden="1" x14ac:dyDescent="0.25">
      <c r="A355" s="24"/>
      <c r="B355" s="18"/>
      <c r="C355" s="18"/>
      <c r="G355" s="61"/>
      <c r="H355" s="32"/>
      <c r="J355" s="48"/>
      <c r="K355" s="48"/>
      <c r="L355" s="137"/>
      <c r="P355" s="33"/>
    </row>
    <row r="356" spans="1:16" s="19" customFormat="1" hidden="1" x14ac:dyDescent="0.25">
      <c r="A356" s="147"/>
      <c r="B356" s="147"/>
      <c r="C356" s="18"/>
      <c r="G356" s="57"/>
      <c r="H356" s="32"/>
      <c r="J356" s="48"/>
      <c r="K356" s="48"/>
      <c r="L356" s="137"/>
      <c r="P356" s="33"/>
    </row>
    <row r="357" spans="1:16" s="19" customFormat="1" hidden="1" x14ac:dyDescent="0.25">
      <c r="A357" s="147"/>
      <c r="B357" s="147"/>
      <c r="C357" s="18"/>
      <c r="G357" s="57"/>
      <c r="H357" s="32"/>
      <c r="J357" s="48"/>
      <c r="K357" s="48"/>
      <c r="L357" s="137"/>
      <c r="P357" s="33"/>
    </row>
    <row r="358" spans="1:16" s="19" customFormat="1" hidden="1" x14ac:dyDescent="0.25">
      <c r="A358" s="147"/>
      <c r="B358" s="147"/>
      <c r="C358" s="18"/>
      <c r="G358" s="57"/>
      <c r="H358" s="32"/>
      <c r="J358" s="48"/>
      <c r="K358" s="48"/>
      <c r="L358" s="137"/>
      <c r="P358" s="33"/>
    </row>
    <row r="359" spans="1:16" s="19" customFormat="1" hidden="1" x14ac:dyDescent="0.25">
      <c r="A359" s="147"/>
      <c r="B359" s="147"/>
      <c r="C359" s="18"/>
      <c r="G359" s="57"/>
      <c r="H359" s="32"/>
      <c r="J359" s="48"/>
      <c r="K359" s="48"/>
      <c r="L359" s="137"/>
      <c r="P359" s="33"/>
    </row>
    <row r="360" spans="1:16" s="19" customFormat="1" hidden="1" x14ac:dyDescent="0.25">
      <c r="A360" s="147"/>
      <c r="B360" s="147"/>
      <c r="C360" s="18"/>
      <c r="G360" s="57"/>
      <c r="H360" s="32"/>
      <c r="J360" s="48"/>
      <c r="K360" s="48"/>
      <c r="L360" s="137"/>
      <c r="P360" s="33"/>
    </row>
    <row r="361" spans="1:16" s="19" customFormat="1" hidden="1" x14ac:dyDescent="0.25">
      <c r="A361" s="147"/>
      <c r="B361" s="147"/>
      <c r="C361" s="18"/>
      <c r="G361" s="57"/>
      <c r="H361" s="32"/>
      <c r="J361" s="48"/>
      <c r="K361" s="48"/>
      <c r="L361" s="137"/>
      <c r="P361" s="33"/>
    </row>
    <row r="362" spans="1:16" hidden="1" x14ac:dyDescent="0.25"/>
    <row r="363" spans="1:16" hidden="1" x14ac:dyDescent="0.25"/>
    <row r="364" spans="1:16" hidden="1" x14ac:dyDescent="0.25"/>
    <row r="365" spans="1:16" hidden="1" x14ac:dyDescent="0.25"/>
    <row r="366" spans="1:16" hidden="1" x14ac:dyDescent="0.25"/>
    <row r="367" spans="1:16" hidden="1" x14ac:dyDescent="0.25"/>
  </sheetData>
  <sheetProtection algorithmName="SHA-512" hashValue="nMd2ZDA2vNcjz+j5vT6C5snN6XRu3NfpTS1yFyL9j9NIrLSgB7LnNW2XvgI9wrHXZP5xYWrpK6/A4DH6H1zwDA==" saltValue="rA9mtTKSg+l1/YFfoNU0Ag==" spinCount="100000" sheet="1" objects="1" scenarios="1"/>
  <mergeCells count="54">
    <mergeCell ref="F208:H208"/>
    <mergeCell ref="C13:H13"/>
    <mergeCell ref="A189:C189"/>
    <mergeCell ref="A191:C191"/>
    <mergeCell ref="A193:C193"/>
    <mergeCell ref="F201:H201"/>
    <mergeCell ref="F203:H203"/>
    <mergeCell ref="D44:F44"/>
    <mergeCell ref="B200:C201"/>
    <mergeCell ref="A177:C177"/>
    <mergeCell ref="A179:C179"/>
    <mergeCell ref="A175:C175"/>
    <mergeCell ref="A181:C181"/>
    <mergeCell ref="F206:H206"/>
    <mergeCell ref="C197:H197"/>
    <mergeCell ref="H75:H77"/>
    <mergeCell ref="C280:H280"/>
    <mergeCell ref="F212:H212"/>
    <mergeCell ref="D215:E215"/>
    <mergeCell ref="F210:H210"/>
    <mergeCell ref="C254:H254"/>
    <mergeCell ref="F247:H248"/>
    <mergeCell ref="F261:H264"/>
    <mergeCell ref="C232:H232"/>
    <mergeCell ref="C265:H265"/>
    <mergeCell ref="H123:H126"/>
    <mergeCell ref="H86:H89"/>
    <mergeCell ref="A187:C187"/>
    <mergeCell ref="F205:H205"/>
    <mergeCell ref="H51:H53"/>
    <mergeCell ref="D95:H95"/>
    <mergeCell ref="H119:H120"/>
    <mergeCell ref="A183:C183"/>
    <mergeCell ref="A185:C185"/>
    <mergeCell ref="C167:I167"/>
    <mergeCell ref="H128:H130"/>
    <mergeCell ref="H150:H153"/>
    <mergeCell ref="H155:H157"/>
    <mergeCell ref="H110:H113"/>
    <mergeCell ref="D90:H90"/>
    <mergeCell ref="H61:H63"/>
    <mergeCell ref="H56:H59"/>
    <mergeCell ref="H92:H94"/>
    <mergeCell ref="H65:H67"/>
    <mergeCell ref="C2:H2"/>
    <mergeCell ref="C4:H4"/>
    <mergeCell ref="H39:H42"/>
    <mergeCell ref="C7:H7"/>
    <mergeCell ref="G15:H15"/>
    <mergeCell ref="G16:H16"/>
    <mergeCell ref="G17:H17"/>
    <mergeCell ref="D8:H8"/>
    <mergeCell ref="D9:H9"/>
    <mergeCell ref="D10:H10"/>
  </mergeCells>
  <conditionalFormatting sqref="D38">
    <cfRule type="expression" dxfId="7" priority="1">
      <formula>#REF!="Norge"</formula>
    </cfRule>
  </conditionalFormatting>
  <dataValidations count="15">
    <dataValidation type="custom" allowBlank="1" showInputMessage="1" showErrorMessage="1" errorTitle="Feil verdi" error="Summen av andelene av ÅDT for tiltak A, B og C kan ikke være større enn 100." sqref="D51:D53">
      <formula1>IF(SUM(D$51:D$53)&gt;100,FALSE,TRUE)</formula1>
    </dataValidation>
    <dataValidation allowBlank="1" showInputMessage="1" showErrorMessage="1" prompt="Må kun fylles ut hvis andelen som kjører over 120 km/t endrer seg (cellene kan være tomme hvis andelen er den samme med og uten tiltak)." sqref="D75:E77"/>
    <dataValidation type="list" allowBlank="1" showInputMessage="1" showErrorMessage="1" sqref="F45">
      <formula1>$J$45:$J$46</formula1>
    </dataValidation>
    <dataValidation type="list" showInputMessage="1" errorTitle="Feil verdi" error="Analyseperioden må være mellom 0 og 25 år" promptTitle="Standard: 10 år" prompt="Mellom 0 og 25 år._x000a_Kan f.eks. settes til 0,25 hvis tiltaket skal brukes i 3 måneder (f.eks. i vegarbeidsområde)." sqref="D34">
      <formula1>$J$34:$J$35</formula1>
    </dataValidation>
    <dataValidation allowBlank="1" showInputMessage="1" showErrorMessage="1" promptTitle="Beskrivelse av tiltaket" prompt="Her kan man for eksempel skrive mer om de enkelte tiltaksvariantene, om B eller C ikke er spesifisert, eller hvorfor enkelte nyttekomponenter er utelatt fra analysene." sqref="G16:H17"/>
    <dataValidation allowBlank="1" showInputMessage="1" showErrorMessage="1" promptTitle="Beskrivelse av tiltaket" prompt="Her kan man for eksempel skrive mer om de enkelte tiltaksvariantene, f.eks. hvorfor enkelte nyttekomponenter er utelatt fra analysene." sqref="G15:H15"/>
    <dataValidation type="list" allowBlank="1" showInputMessage="1" showErrorMessage="1" promptTitle="Skal nytten være med ...?" prompt="Ja hvis nytten skal være med,_x000a_Nei hvis nytten ikke skal være med i beregningen av den samlede samfunnsøkonoimske nytten." sqref="E15:F15">
      <formula1>$J$15:$J$16</formula1>
    </dataValidation>
    <dataValidation allowBlank="1" showInputMessage="1" showErrorMessage="1" promptTitle="Tiltak C" prompt="Beskrivelse av informasjon som vises med tiltak C (valgfri)" sqref="D10:H10"/>
    <dataValidation allowBlank="1" showInputMessage="1" showErrorMessage="1" promptTitle="Tiltak A" prompt="Beskrivelse av informasjon som vises med tiltak A" sqref="D8:H8"/>
    <dataValidation allowBlank="1" showInputMessage="1" showErrorMessage="1" promptTitle="Tiltak B" prompt="Beskrivelse av informasjon som vises med tiltak B (valgfri)" sqref="D9:H9"/>
    <dataValidation type="list" allowBlank="1" showInputMessage="1" showErrorMessage="1" promptTitle="Skal nytten være med ...?" prompt="Standard: Ja _x000a_Nytte for trafikksikkerhet (A) skal som regel være med." sqref="D15">
      <formula1>$J$15:$J$16</formula1>
    </dataValidation>
    <dataValidation allowBlank="1" showInputMessage="1" showErrorMessage="1" prompt="Hvis tiltaket har en analyseperiode på under ett år må summen av alle påløpende kostnader oppgis under installasjon (ingen kostnader under årlig drift/vedlikehold)." sqref="D41:F42"/>
    <dataValidation allowBlank="1" showInputMessage="1" showErrorMessage="1" promptTitle="Beskrivelse av tiltaket" prompt="Her kan man for eksempel beskrive tiltaket og de viktigste beregningsforutsetningene, legge inn kommentarer, …" sqref="C4:H4"/>
    <dataValidation type="list" allowBlank="1" showInputMessage="1" showErrorMessage="1" promptTitle="Skal nytten være med ...?" prompt="Ja hvis nytten skal være med,_x000a_Nei hvis nytten ikke skal være med i beregningen av den samlede samfunnsøkonomiske nytten." sqref="D16:F17">
      <formula1>$J$15:$J$16</formula1>
    </dataValidation>
    <dataValidation allowBlank="1" showInputMessage="1" showErrorMessage="1" promptTitle="Hva heter tiltaket?" prompt="Her kan man skrive inn hva tiltaket heter." sqref="C2:H2"/>
  </dataValidations>
  <hyperlinks>
    <hyperlink ref="H32" location="'1 Fartsreg. tiltak veiledning'!A1" display="(se ark 'Fartsreg. tiltak veiledning for en oversikt over hvilken informasjon som må / kan oppgis for hvilke typer tiltak)"/>
  </hyperlinks>
  <pageMargins left="0.70866141732283472" right="0.39370078740157483" top="0.78740157480314965" bottom="0.78740157480314965" header="0.31496062992125984" footer="0.31496062992125984"/>
  <pageSetup paperSize="9" scale="78" fitToHeight="0" orientation="landscape" r:id="rId1"/>
  <headerFooter>
    <oddFooter>&amp;LITS-Virkningsberegninger
TØI-Rapport 1289/2013&amp;C&amp;"-,Fet"&amp;12&amp;A&amp;RSide &amp;P</oddFooter>
  </headerFooter>
  <rowBreaks count="6" manualBreakCount="6">
    <brk id="31" max="16383" man="1"/>
    <brk id="77" max="16383" man="1"/>
    <brk id="164" max="16383" man="1"/>
    <brk id="169" max="16383" man="1"/>
    <brk id="194" max="16383" man="1"/>
    <brk id="250" max="16383" man="1"/>
  </rowBreaks>
  <colBreaks count="1" manualBreakCount="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'Data-beregninger'!$B$25:$B$34</xm:f>
          </x14:formula1>
          <xm:sqref>D44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rgb="FF2FFF8D"/>
    <pageSetUpPr fitToPage="1"/>
  </sheetPr>
  <dimension ref="A1:H37"/>
  <sheetViews>
    <sheetView showGridLines="0" workbookViewId="0">
      <selection sqref="A1:E1"/>
    </sheetView>
  </sheetViews>
  <sheetFormatPr baseColWidth="10" defaultColWidth="0" defaultRowHeight="15.75" zeroHeight="1" x14ac:dyDescent="0.25"/>
  <cols>
    <col min="1" max="1" width="3" style="203" customWidth="1"/>
    <col min="2" max="2" width="59.5703125" style="16" customWidth="1"/>
    <col min="3" max="5" width="16" style="16" customWidth="1"/>
    <col min="6" max="7" width="16.7109375" style="16" customWidth="1"/>
    <col min="8" max="8" width="16" style="16" customWidth="1"/>
    <col min="9" max="16384" width="11.42578125" style="16" hidden="1"/>
  </cols>
  <sheetData>
    <row r="1" spans="1:8" customFormat="1" ht="18.75" x14ac:dyDescent="0.3">
      <c r="A1" s="205" t="s">
        <v>980</v>
      </c>
    </row>
    <row r="2" spans="1:8" s="7" customFormat="1" ht="117" customHeight="1" x14ac:dyDescent="0.25">
      <c r="A2" s="197"/>
      <c r="C2" s="180" t="s">
        <v>363</v>
      </c>
      <c r="D2" s="180" t="s">
        <v>18</v>
      </c>
      <c r="E2" s="180" t="s">
        <v>334</v>
      </c>
      <c r="F2" s="180" t="s">
        <v>26</v>
      </c>
      <c r="G2" s="180" t="s">
        <v>27</v>
      </c>
      <c r="H2" s="180" t="s">
        <v>356</v>
      </c>
    </row>
    <row r="3" spans="1:8" s="186" customFormat="1" x14ac:dyDescent="0.25">
      <c r="A3" s="198" t="s">
        <v>337</v>
      </c>
      <c r="B3" s="181"/>
      <c r="C3" s="182"/>
      <c r="D3" s="185"/>
      <c r="E3" s="182"/>
      <c r="F3" s="182"/>
      <c r="G3" s="182"/>
      <c r="H3" s="182"/>
    </row>
    <row r="4" spans="1:8" s="187" customFormat="1" x14ac:dyDescent="0.25">
      <c r="A4" s="199"/>
      <c r="B4" s="183" t="s">
        <v>331</v>
      </c>
      <c r="C4" s="184" t="s">
        <v>335</v>
      </c>
      <c r="D4" s="188" t="s">
        <v>335</v>
      </c>
      <c r="E4" s="184" t="s">
        <v>335</v>
      </c>
      <c r="F4" s="184" t="s">
        <v>335</v>
      </c>
      <c r="G4" s="184" t="s">
        <v>335</v>
      </c>
      <c r="H4" s="184" t="s">
        <v>335</v>
      </c>
    </row>
    <row r="5" spans="1:8" s="187" customFormat="1" x14ac:dyDescent="0.25">
      <c r="A5" s="199"/>
      <c r="B5" s="196" t="s">
        <v>352</v>
      </c>
    </row>
    <row r="6" spans="1:8" s="187" customFormat="1" x14ac:dyDescent="0.25">
      <c r="A6" s="199"/>
      <c r="B6" s="183" t="s">
        <v>353</v>
      </c>
      <c r="C6" s="184" t="s">
        <v>335</v>
      </c>
      <c r="D6" s="184" t="s">
        <v>335</v>
      </c>
      <c r="E6" s="184" t="s">
        <v>335</v>
      </c>
      <c r="F6" s="184" t="s">
        <v>335</v>
      </c>
      <c r="G6" s="184" t="s">
        <v>335</v>
      </c>
      <c r="H6" s="184" t="s">
        <v>335</v>
      </c>
    </row>
    <row r="7" spans="1:8" s="187" customFormat="1" x14ac:dyDescent="0.25">
      <c r="A7" s="199"/>
      <c r="B7" s="183" t="s">
        <v>354</v>
      </c>
      <c r="C7" s="202" t="s">
        <v>351</v>
      </c>
      <c r="D7" s="202" t="s">
        <v>351</v>
      </c>
      <c r="E7" s="202" t="s">
        <v>351</v>
      </c>
      <c r="F7" s="202" t="s">
        <v>350</v>
      </c>
      <c r="G7" s="202" t="s">
        <v>350</v>
      </c>
      <c r="H7" s="202" t="s">
        <v>351</v>
      </c>
    </row>
    <row r="8" spans="1:8" s="187" customFormat="1" x14ac:dyDescent="0.25">
      <c r="A8" s="199"/>
      <c r="B8" s="183" t="s">
        <v>332</v>
      </c>
      <c r="C8" s="184" t="s">
        <v>335</v>
      </c>
      <c r="D8" s="184" t="s">
        <v>335</v>
      </c>
      <c r="E8" s="184" t="s">
        <v>335</v>
      </c>
      <c r="F8" s="184" t="s">
        <v>335</v>
      </c>
      <c r="G8" s="184" t="s">
        <v>335</v>
      </c>
      <c r="H8" s="184" t="s">
        <v>335</v>
      </c>
    </row>
    <row r="9" spans="1:8" s="187" customFormat="1" x14ac:dyDescent="0.25">
      <c r="A9" s="199"/>
      <c r="B9" s="183" t="s">
        <v>333</v>
      </c>
      <c r="C9" s="184" t="s">
        <v>335</v>
      </c>
      <c r="D9" s="184" t="s">
        <v>335</v>
      </c>
      <c r="E9" s="184" t="s">
        <v>335</v>
      </c>
      <c r="F9" s="184" t="s">
        <v>335</v>
      </c>
      <c r="G9" s="184" t="s">
        <v>335</v>
      </c>
      <c r="H9" s="184" t="s">
        <v>335</v>
      </c>
    </row>
    <row r="10" spans="1:8" s="187" customFormat="1" x14ac:dyDescent="0.25">
      <c r="A10" s="199"/>
      <c r="B10" s="183" t="s">
        <v>16</v>
      </c>
      <c r="C10" s="184" t="s">
        <v>335</v>
      </c>
      <c r="D10" s="184" t="s">
        <v>335</v>
      </c>
      <c r="E10" s="184" t="s">
        <v>335</v>
      </c>
      <c r="F10" s="184" t="s">
        <v>335</v>
      </c>
      <c r="G10" s="184" t="s">
        <v>335</v>
      </c>
      <c r="H10" s="184" t="s">
        <v>335</v>
      </c>
    </row>
    <row r="11" spans="1:8" s="187" customFormat="1" x14ac:dyDescent="0.25">
      <c r="A11" s="199"/>
      <c r="B11" s="183" t="s">
        <v>2</v>
      </c>
      <c r="C11" s="184" t="s">
        <v>335</v>
      </c>
      <c r="D11" s="184" t="s">
        <v>335</v>
      </c>
      <c r="E11" s="188" t="s">
        <v>361</v>
      </c>
      <c r="F11" s="188" t="s">
        <v>361</v>
      </c>
      <c r="G11" s="184" t="s">
        <v>335</v>
      </c>
      <c r="H11" s="184" t="s">
        <v>335</v>
      </c>
    </row>
    <row r="12" spans="1:8" s="187" customFormat="1" x14ac:dyDescent="0.25">
      <c r="A12" s="199"/>
      <c r="B12" s="183" t="s">
        <v>4</v>
      </c>
      <c r="C12" s="184" t="s">
        <v>335</v>
      </c>
      <c r="D12" s="184" t="s">
        <v>335</v>
      </c>
      <c r="E12" s="184" t="s">
        <v>335</v>
      </c>
      <c r="F12" s="184" t="s">
        <v>335</v>
      </c>
      <c r="G12" s="184" t="s">
        <v>335</v>
      </c>
      <c r="H12" s="184" t="s">
        <v>335</v>
      </c>
    </row>
    <row r="13" spans="1:8" s="187" customFormat="1" x14ac:dyDescent="0.25">
      <c r="A13" s="199"/>
      <c r="B13" s="204" t="s">
        <v>343</v>
      </c>
      <c r="C13" s="184"/>
      <c r="D13" s="184"/>
      <c r="E13" s="184"/>
      <c r="F13" s="184"/>
      <c r="G13" s="184"/>
      <c r="H13" s="184"/>
    </row>
    <row r="14" spans="1:8" s="187" customFormat="1" ht="30" customHeight="1" x14ac:dyDescent="0.25">
      <c r="A14" s="199"/>
      <c r="B14" s="183" t="s">
        <v>344</v>
      </c>
      <c r="C14" s="184" t="s">
        <v>335</v>
      </c>
      <c r="D14" s="184" t="s">
        <v>335</v>
      </c>
      <c r="E14" s="202" t="s">
        <v>345</v>
      </c>
      <c r="F14" s="202" t="s">
        <v>345</v>
      </c>
      <c r="G14" s="202" t="s">
        <v>345</v>
      </c>
      <c r="H14" s="184" t="s">
        <v>335</v>
      </c>
    </row>
    <row r="15" spans="1:8" s="187" customFormat="1" x14ac:dyDescent="0.25">
      <c r="A15" s="199"/>
      <c r="B15" s="183" t="s">
        <v>340</v>
      </c>
      <c r="C15" s="184" t="s">
        <v>335</v>
      </c>
      <c r="D15" s="184" t="s">
        <v>335</v>
      </c>
      <c r="E15" s="184" t="s">
        <v>335</v>
      </c>
      <c r="F15" s="184" t="s">
        <v>335</v>
      </c>
      <c r="G15" s="184" t="s">
        <v>335</v>
      </c>
      <c r="H15" s="184" t="s">
        <v>335</v>
      </c>
    </row>
    <row r="16" spans="1:8" s="187" customFormat="1" x14ac:dyDescent="0.25">
      <c r="A16" s="199"/>
      <c r="B16" s="183" t="s">
        <v>341</v>
      </c>
      <c r="C16" s="184" t="s">
        <v>335</v>
      </c>
      <c r="D16" s="184" t="s">
        <v>335</v>
      </c>
      <c r="E16" s="184" t="s">
        <v>335</v>
      </c>
      <c r="F16" s="184" t="s">
        <v>335</v>
      </c>
      <c r="G16" s="184" t="s">
        <v>335</v>
      </c>
      <c r="H16" s="184" t="s">
        <v>335</v>
      </c>
    </row>
    <row r="17" spans="1:8" s="187" customFormat="1" x14ac:dyDescent="0.25">
      <c r="A17" s="199"/>
      <c r="B17" s="183" t="s">
        <v>342</v>
      </c>
      <c r="C17" s="184" t="s">
        <v>335</v>
      </c>
      <c r="D17" s="184" t="s">
        <v>335</v>
      </c>
      <c r="E17" s="184" t="s">
        <v>335</v>
      </c>
      <c r="F17" s="184" t="s">
        <v>335</v>
      </c>
      <c r="G17" s="184" t="s">
        <v>335</v>
      </c>
      <c r="H17" s="184" t="s">
        <v>335</v>
      </c>
    </row>
    <row r="18" spans="1:8" s="187" customFormat="1" x14ac:dyDescent="0.25">
      <c r="A18" s="199" t="s">
        <v>338</v>
      </c>
      <c r="B18" s="183"/>
      <c r="C18" s="184"/>
      <c r="D18" s="188"/>
      <c r="E18" s="184"/>
      <c r="F18" s="184"/>
      <c r="G18" s="184"/>
      <c r="H18" s="184"/>
    </row>
    <row r="19" spans="1:8" s="187" customFormat="1" x14ac:dyDescent="0.25">
      <c r="A19" s="199"/>
      <c r="B19" s="183" t="s">
        <v>79</v>
      </c>
      <c r="C19" s="188" t="s">
        <v>336</v>
      </c>
      <c r="D19" s="188" t="s">
        <v>336</v>
      </c>
      <c r="E19" s="188" t="s">
        <v>336</v>
      </c>
      <c r="F19" s="188" t="s">
        <v>336</v>
      </c>
      <c r="G19" s="188" t="s">
        <v>336</v>
      </c>
      <c r="H19" s="188" t="s">
        <v>336</v>
      </c>
    </row>
    <row r="20" spans="1:8" s="187" customFormat="1" x14ac:dyDescent="0.25">
      <c r="A20" s="199"/>
      <c r="B20" s="183" t="s">
        <v>94</v>
      </c>
      <c r="C20" s="188" t="s">
        <v>336</v>
      </c>
      <c r="D20" s="188" t="s">
        <v>336</v>
      </c>
      <c r="E20" s="188" t="s">
        <v>336</v>
      </c>
      <c r="F20" s="188" t="s">
        <v>336</v>
      </c>
      <c r="G20" s="188" t="s">
        <v>336</v>
      </c>
      <c r="H20" s="188" t="s">
        <v>336</v>
      </c>
    </row>
    <row r="21" spans="1:8" s="187" customFormat="1" x14ac:dyDescent="0.25">
      <c r="A21" s="199"/>
      <c r="B21" s="183" t="s">
        <v>46</v>
      </c>
      <c r="C21" s="188" t="s">
        <v>336</v>
      </c>
      <c r="D21" s="188" t="s">
        <v>336</v>
      </c>
      <c r="E21" s="188" t="s">
        <v>336</v>
      </c>
      <c r="F21" s="188" t="s">
        <v>336</v>
      </c>
      <c r="G21" s="188" t="s">
        <v>336</v>
      </c>
      <c r="H21" s="188" t="s">
        <v>336</v>
      </c>
    </row>
    <row r="22" spans="1:8" s="187" customFormat="1" x14ac:dyDescent="0.25">
      <c r="A22" s="199" t="s">
        <v>349</v>
      </c>
      <c r="B22" s="183"/>
      <c r="C22" s="184"/>
      <c r="D22" s="184"/>
      <c r="E22" s="184"/>
      <c r="F22" s="202"/>
      <c r="G22" s="184"/>
      <c r="H22" s="184"/>
    </row>
    <row r="23" spans="1:8" s="187" customFormat="1" x14ac:dyDescent="0.25">
      <c r="A23" s="199"/>
      <c r="B23" s="196" t="s">
        <v>352</v>
      </c>
      <c r="C23" s="184"/>
      <c r="D23" s="184"/>
      <c r="E23" s="184"/>
      <c r="F23" s="202"/>
      <c r="G23" s="184"/>
      <c r="H23" s="184"/>
    </row>
    <row r="24" spans="1:8" s="187" customFormat="1" x14ac:dyDescent="0.25">
      <c r="A24" s="199"/>
      <c r="B24" s="195" t="s">
        <v>360</v>
      </c>
      <c r="C24" s="184" t="s">
        <v>339</v>
      </c>
      <c r="D24" s="184" t="s">
        <v>339</v>
      </c>
      <c r="E24" s="184" t="s">
        <v>339</v>
      </c>
      <c r="F24" s="202" t="s">
        <v>339</v>
      </c>
      <c r="G24" s="188" t="s">
        <v>336</v>
      </c>
      <c r="H24" s="188" t="s">
        <v>336</v>
      </c>
    </row>
    <row r="25" spans="1:8" s="187" customFormat="1" x14ac:dyDescent="0.25">
      <c r="A25" s="199"/>
      <c r="B25" s="196" t="s">
        <v>362</v>
      </c>
      <c r="C25" s="184"/>
      <c r="D25" s="184"/>
      <c r="E25" s="184"/>
      <c r="F25" s="202"/>
      <c r="G25" s="184"/>
      <c r="H25" s="184"/>
    </row>
    <row r="26" spans="1:8" s="187" customFormat="1" ht="15" customHeight="1" x14ac:dyDescent="0.25">
      <c r="A26" s="199"/>
      <c r="B26" s="183" t="s">
        <v>353</v>
      </c>
      <c r="C26" s="188" t="s">
        <v>336</v>
      </c>
      <c r="D26" s="188" t="s">
        <v>336</v>
      </c>
      <c r="E26" s="842" t="s">
        <v>347</v>
      </c>
      <c r="F26" s="842" t="s">
        <v>347</v>
      </c>
      <c r="G26" s="842" t="s">
        <v>347</v>
      </c>
      <c r="H26" s="842" t="s">
        <v>348</v>
      </c>
    </row>
    <row r="27" spans="1:8" s="187" customFormat="1" x14ac:dyDescent="0.25">
      <c r="A27" s="199"/>
      <c r="B27" s="183" t="s">
        <v>354</v>
      </c>
      <c r="C27" s="202" t="s">
        <v>351</v>
      </c>
      <c r="D27" s="202" t="s">
        <v>351</v>
      </c>
      <c r="E27" s="843"/>
      <c r="F27" s="843"/>
      <c r="G27" s="843"/>
      <c r="H27" s="843"/>
    </row>
    <row r="28" spans="1:8" s="187" customFormat="1" ht="15" customHeight="1" x14ac:dyDescent="0.25">
      <c r="A28" s="199"/>
      <c r="B28" s="196" t="s">
        <v>346</v>
      </c>
      <c r="C28" s="184"/>
      <c r="D28" s="184"/>
      <c r="E28" s="184"/>
      <c r="F28" s="847"/>
      <c r="G28" s="847"/>
      <c r="H28" s="184"/>
    </row>
    <row r="29" spans="1:8" s="187" customFormat="1" ht="15.75" customHeight="1" x14ac:dyDescent="0.25">
      <c r="A29" s="199"/>
      <c r="B29" s="183" t="s">
        <v>344</v>
      </c>
      <c r="C29" s="184" t="s">
        <v>335</v>
      </c>
      <c r="D29" s="184" t="s">
        <v>335</v>
      </c>
      <c r="E29" s="842" t="s">
        <v>347</v>
      </c>
      <c r="F29" s="842" t="s">
        <v>347</v>
      </c>
      <c r="G29" s="842" t="s">
        <v>347</v>
      </c>
      <c r="H29" s="184" t="s">
        <v>335</v>
      </c>
    </row>
    <row r="30" spans="1:8" s="187" customFormat="1" x14ac:dyDescent="0.25">
      <c r="A30" s="199"/>
      <c r="B30" s="183" t="s">
        <v>358</v>
      </c>
      <c r="C30" s="184" t="s">
        <v>335</v>
      </c>
      <c r="D30" s="184" t="s">
        <v>335</v>
      </c>
      <c r="E30" s="848"/>
      <c r="F30" s="848"/>
      <c r="G30" s="848"/>
      <c r="H30" s="184" t="s">
        <v>335</v>
      </c>
    </row>
    <row r="31" spans="1:8" s="187" customFormat="1" x14ac:dyDescent="0.25">
      <c r="A31" s="199"/>
      <c r="B31" s="183" t="s">
        <v>341</v>
      </c>
      <c r="C31" s="184" t="s">
        <v>335</v>
      </c>
      <c r="D31" s="184" t="s">
        <v>335</v>
      </c>
      <c r="E31" s="848"/>
      <c r="F31" s="848"/>
      <c r="G31" s="848"/>
      <c r="H31" s="184" t="s">
        <v>335</v>
      </c>
    </row>
    <row r="32" spans="1:8" s="187" customFormat="1" ht="30" x14ac:dyDescent="0.25">
      <c r="A32" s="199"/>
      <c r="B32" s="183" t="s">
        <v>359</v>
      </c>
      <c r="C32" s="184" t="s">
        <v>335</v>
      </c>
      <c r="D32" s="184" t="s">
        <v>335</v>
      </c>
      <c r="E32" s="848"/>
      <c r="F32" s="848"/>
      <c r="G32" s="848"/>
      <c r="H32" s="184" t="s">
        <v>335</v>
      </c>
    </row>
    <row r="33" spans="1:8" s="193" customFormat="1" x14ac:dyDescent="0.25">
      <c r="A33" s="201"/>
      <c r="B33" s="192" t="s">
        <v>360</v>
      </c>
      <c r="C33" s="206" t="s">
        <v>339</v>
      </c>
      <c r="D33" s="206" t="s">
        <v>339</v>
      </c>
      <c r="E33" s="849"/>
      <c r="F33" s="849"/>
      <c r="G33" s="849"/>
      <c r="H33" s="206" t="s">
        <v>364</v>
      </c>
    </row>
    <row r="34" spans="1:8" s="191" customFormat="1" ht="7.5" customHeight="1" x14ac:dyDescent="0.25">
      <c r="A34" s="200"/>
      <c r="B34" s="189"/>
      <c r="C34" s="190"/>
      <c r="D34" s="190"/>
      <c r="E34" s="190"/>
      <c r="F34" s="190"/>
      <c r="G34" s="190"/>
    </row>
    <row r="35" spans="1:8" s="191" customFormat="1" ht="30" customHeight="1" x14ac:dyDescent="0.25">
      <c r="A35" s="200"/>
      <c r="B35" s="845" t="s">
        <v>357</v>
      </c>
      <c r="C35" s="846"/>
      <c r="D35" s="846"/>
      <c r="E35" s="846"/>
      <c r="F35" s="846"/>
      <c r="G35" s="846"/>
      <c r="H35" s="823"/>
    </row>
    <row r="36" spans="1:8" x14ac:dyDescent="0.25">
      <c r="B36" s="844" t="s">
        <v>979</v>
      </c>
      <c r="C36" s="844"/>
      <c r="D36" s="844"/>
      <c r="E36" s="844"/>
      <c r="F36" s="844"/>
      <c r="G36" s="844"/>
      <c r="H36" s="844"/>
    </row>
    <row r="37" spans="1:8" ht="15.75" customHeight="1" x14ac:dyDescent="0.25">
      <c r="B37" s="844" t="s">
        <v>1019</v>
      </c>
      <c r="C37" s="844"/>
      <c r="D37" s="844"/>
      <c r="E37" s="844"/>
      <c r="F37" s="844"/>
      <c r="G37" s="844"/>
      <c r="H37" s="844"/>
    </row>
  </sheetData>
  <sheetProtection algorithmName="SHA-512" hashValue="kJjh4MroLpLQfmXw6yUTX01VtA8pNGToDKQ8DcXdpKnI00oByVecBQVTXWhRnWjlOtEgvuyqFLy+XKdJeD5m+w==" saltValue="4Xjjdr2FS9U1xtzmBc58lw==" spinCount="100000" sheet="1" objects="1" scenarios="1"/>
  <mergeCells count="11">
    <mergeCell ref="G26:G27"/>
    <mergeCell ref="H26:H27"/>
    <mergeCell ref="B37:H37"/>
    <mergeCell ref="B35:H35"/>
    <mergeCell ref="B36:H36"/>
    <mergeCell ref="F28:G28"/>
    <mergeCell ref="E26:E27"/>
    <mergeCell ref="E29:E33"/>
    <mergeCell ref="G29:G33"/>
    <mergeCell ref="F29:F33"/>
    <mergeCell ref="F26:F27"/>
  </mergeCells>
  <pageMargins left="0.70866141732283472" right="0.39370078740157483" top="0.78740157480314965" bottom="0.78740157480314965" header="0.31496062992125984" footer="0.31496062992125984"/>
  <pageSetup paperSize="9" scale="84" fitToHeight="0" orientation="landscape" r:id="rId1"/>
  <headerFooter>
    <oddFooter>&amp;LITS-Virkningsberegninger
TØI-Rapport 1289/2013&amp;C&amp;"-,Fet"&amp;12&amp;A&amp;RSide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00B050"/>
    <pageSetUpPr fitToPage="1"/>
  </sheetPr>
  <dimension ref="A1:R280"/>
  <sheetViews>
    <sheetView showGridLines="0" zoomScaleNormal="100" workbookViewId="0">
      <pane ySplit="1" topLeftCell="A2" activePane="bottomLeft" state="frozen"/>
      <selection sqref="A1:E1"/>
      <selection pane="bottomLeft" sqref="A1:E1"/>
    </sheetView>
  </sheetViews>
  <sheetFormatPr baseColWidth="10" defaultColWidth="0" defaultRowHeight="15" zeroHeight="1" x14ac:dyDescent="0.25"/>
  <cols>
    <col min="1" max="1" width="3.85546875" style="147" customWidth="1"/>
    <col min="2" max="2" width="1.28515625" style="147" customWidth="1"/>
    <col min="3" max="3" width="27.140625" style="18" customWidth="1"/>
    <col min="4" max="6" width="11.5703125" style="19" customWidth="1"/>
    <col min="7" max="7" width="5.5703125" style="57" customWidth="1"/>
    <col min="8" max="8" width="97.85546875" style="18" customWidth="1"/>
    <col min="9" max="9" width="1.28515625" style="19" customWidth="1"/>
    <col min="10" max="10" width="11.42578125" style="23" hidden="1" customWidth="1"/>
    <col min="11" max="11" width="12.85546875" style="23" hidden="1" customWidth="1"/>
    <col min="12" max="15" width="11.42578125" style="19" hidden="1" customWidth="1"/>
    <col min="16" max="16384" width="11.42578125" style="18" hidden="1"/>
  </cols>
  <sheetData>
    <row r="1" spans="1:16" s="208" customFormat="1" ht="21" x14ac:dyDescent="0.25">
      <c r="A1" s="146" t="s">
        <v>1016</v>
      </c>
      <c r="B1" s="18"/>
      <c r="C1" s="18"/>
      <c r="D1" s="18"/>
      <c r="E1" s="18"/>
      <c r="F1" s="18"/>
      <c r="G1" s="18"/>
      <c r="H1" s="18"/>
      <c r="I1" s="231"/>
      <c r="J1" s="22" t="s">
        <v>57</v>
      </c>
      <c r="K1" s="23"/>
      <c r="L1" s="19"/>
      <c r="M1" s="19"/>
      <c r="N1" s="19"/>
      <c r="O1" s="19"/>
    </row>
    <row r="2" spans="1:16" ht="20.100000000000001" customHeight="1" x14ac:dyDescent="0.25">
      <c r="A2" s="146"/>
      <c r="B2" s="18"/>
      <c r="C2" s="814"/>
      <c r="D2" s="814"/>
      <c r="E2" s="814"/>
      <c r="F2" s="814"/>
      <c r="G2" s="814"/>
      <c r="H2" s="814"/>
      <c r="I2" s="499"/>
      <c r="J2" s="136"/>
      <c r="K2" s="48"/>
      <c r="L2" s="137"/>
      <c r="P2" s="24"/>
    </row>
    <row r="3" spans="1:16" s="208" customFormat="1" ht="18.75" x14ac:dyDescent="0.25">
      <c r="A3" s="144" t="s">
        <v>118</v>
      </c>
      <c r="B3" s="145"/>
      <c r="C3" s="18"/>
      <c r="D3" s="231"/>
      <c r="E3" s="231"/>
      <c r="F3" s="231"/>
      <c r="G3" s="53"/>
      <c r="H3" s="21"/>
      <c r="I3" s="231"/>
      <c r="J3" s="23"/>
      <c r="K3" s="23"/>
      <c r="L3" s="19"/>
      <c r="M3" s="19"/>
      <c r="N3" s="19"/>
      <c r="O3" s="19"/>
    </row>
    <row r="4" spans="1:16" s="208" customFormat="1" ht="87.75" customHeight="1" x14ac:dyDescent="0.25">
      <c r="A4" s="24"/>
      <c r="B4" s="146"/>
      <c r="C4" s="815"/>
      <c r="D4" s="815"/>
      <c r="E4" s="815"/>
      <c r="F4" s="815"/>
      <c r="G4" s="816"/>
      <c r="H4" s="815"/>
      <c r="I4" s="231"/>
      <c r="J4" s="22" t="s">
        <v>57</v>
      </c>
      <c r="K4" s="23"/>
      <c r="L4" s="19"/>
      <c r="M4" s="19"/>
      <c r="N4" s="19"/>
      <c r="O4" s="19"/>
    </row>
    <row r="5" spans="1:16" ht="5.0999999999999996" customHeight="1" x14ac:dyDescent="0.25">
      <c r="A5" s="24"/>
      <c r="B5" s="146"/>
      <c r="C5" s="225"/>
      <c r="D5" s="225"/>
      <c r="E5" s="225"/>
      <c r="F5" s="225"/>
      <c r="G5" s="303"/>
      <c r="H5" s="225"/>
      <c r="I5" s="18"/>
      <c r="J5" s="175"/>
      <c r="K5" s="139"/>
      <c r="L5" s="140"/>
      <c r="M5" s="18"/>
      <c r="N5" s="18"/>
      <c r="O5" s="18"/>
    </row>
    <row r="6" spans="1:16" s="208" customFormat="1" ht="18.75" x14ac:dyDescent="0.25">
      <c r="A6" s="144" t="s">
        <v>96</v>
      </c>
      <c r="B6" s="145"/>
      <c r="C6" s="24"/>
      <c r="D6" s="231"/>
      <c r="E6" s="18"/>
      <c r="F6" s="18"/>
      <c r="G6" s="304"/>
      <c r="H6" s="21"/>
      <c r="I6" s="231"/>
      <c r="J6" s="23"/>
      <c r="K6" s="23"/>
      <c r="L6" s="19"/>
      <c r="M6" s="19"/>
      <c r="N6" s="19"/>
      <c r="O6" s="19"/>
    </row>
    <row r="7" spans="1:16" s="208" customFormat="1" ht="49.5" customHeight="1" x14ac:dyDescent="0.25">
      <c r="A7" s="147"/>
      <c r="B7" s="147"/>
      <c r="C7" s="851" t="s">
        <v>943</v>
      </c>
      <c r="D7" s="850"/>
      <c r="E7" s="850"/>
      <c r="F7" s="850"/>
      <c r="G7" s="852"/>
      <c r="H7" s="850"/>
      <c r="I7" s="18"/>
      <c r="J7" s="19"/>
      <c r="K7" s="23"/>
      <c r="L7" s="19"/>
      <c r="M7" s="19"/>
      <c r="N7" s="19"/>
      <c r="O7" s="19"/>
    </row>
    <row r="8" spans="1:16" s="208" customFormat="1" ht="15" customHeight="1" x14ac:dyDescent="0.25">
      <c r="A8" s="147"/>
      <c r="B8" s="147"/>
      <c r="C8" s="24" t="s">
        <v>135</v>
      </c>
      <c r="D8" s="818"/>
      <c r="E8" s="819"/>
      <c r="F8" s="819"/>
      <c r="G8" s="819"/>
      <c r="H8" s="819"/>
      <c r="I8" s="18"/>
      <c r="J8" s="19"/>
      <c r="K8" s="23"/>
      <c r="L8" s="19"/>
      <c r="M8" s="19"/>
      <c r="N8" s="19"/>
      <c r="O8" s="19"/>
    </row>
    <row r="9" spans="1:16" s="208" customFormat="1" ht="15" customHeight="1" x14ac:dyDescent="0.25">
      <c r="A9" s="147"/>
      <c r="B9" s="147"/>
      <c r="C9" s="24" t="s">
        <v>136</v>
      </c>
      <c r="D9" s="818"/>
      <c r="E9" s="819"/>
      <c r="F9" s="819"/>
      <c r="G9" s="819"/>
      <c r="H9" s="819"/>
      <c r="I9" s="18"/>
      <c r="J9" s="19"/>
      <c r="K9" s="23"/>
      <c r="L9" s="19"/>
      <c r="M9" s="19"/>
      <c r="N9" s="19"/>
      <c r="O9" s="19"/>
    </row>
    <row r="10" spans="1:16" s="208" customFormat="1" ht="15" customHeight="1" x14ac:dyDescent="0.25">
      <c r="A10" s="147"/>
      <c r="B10" s="147"/>
      <c r="C10" s="24" t="s">
        <v>137</v>
      </c>
      <c r="D10" s="818"/>
      <c r="E10" s="819"/>
      <c r="F10" s="819"/>
      <c r="G10" s="819"/>
      <c r="H10" s="819"/>
      <c r="I10" s="18"/>
      <c r="J10" s="19"/>
      <c r="K10" s="23"/>
      <c r="L10" s="19"/>
      <c r="M10" s="19"/>
      <c r="N10" s="19"/>
      <c r="O10" s="19"/>
    </row>
    <row r="11" spans="1:16" s="208" customFormat="1" ht="5.0999999999999996" customHeight="1" x14ac:dyDescent="0.25">
      <c r="A11" s="147"/>
      <c r="B11" s="147"/>
      <c r="C11" s="24"/>
      <c r="D11" s="62"/>
      <c r="E11" s="18"/>
      <c r="F11" s="18"/>
      <c r="G11" s="53"/>
      <c r="H11" s="25"/>
      <c r="I11" s="18"/>
      <c r="J11" s="19"/>
      <c r="K11" s="23"/>
      <c r="L11" s="19"/>
      <c r="M11" s="19"/>
      <c r="N11" s="19"/>
      <c r="O11" s="19"/>
    </row>
    <row r="12" spans="1:16" s="208" customFormat="1" ht="18.75" x14ac:dyDescent="0.25">
      <c r="A12" s="144" t="s">
        <v>324</v>
      </c>
      <c r="B12" s="147"/>
      <c r="C12" s="18"/>
      <c r="D12" s="18"/>
      <c r="E12" s="18"/>
      <c r="F12" s="18"/>
      <c r="G12" s="53"/>
      <c r="H12" s="25"/>
      <c r="I12" s="18"/>
      <c r="J12" s="19"/>
      <c r="K12" s="23"/>
      <c r="L12" s="19"/>
      <c r="M12" s="19"/>
      <c r="N12" s="19"/>
      <c r="O12" s="19"/>
    </row>
    <row r="13" spans="1:16" s="208" customFormat="1" ht="45" customHeight="1" x14ac:dyDescent="0.25">
      <c r="A13" s="144"/>
      <c r="B13" s="147"/>
      <c r="C13" s="813" t="s">
        <v>365</v>
      </c>
      <c r="D13" s="812"/>
      <c r="E13" s="812"/>
      <c r="F13" s="812"/>
      <c r="G13" s="812"/>
      <c r="H13" s="812"/>
      <c r="I13" s="18"/>
      <c r="J13" s="19"/>
      <c r="K13" s="23"/>
      <c r="L13" s="19"/>
      <c r="M13" s="19"/>
      <c r="N13" s="19"/>
      <c r="O13" s="19"/>
    </row>
    <row r="14" spans="1:16" s="208" customFormat="1" ht="15" customHeight="1" x14ac:dyDescent="0.25">
      <c r="A14" s="144"/>
      <c r="B14" s="145"/>
      <c r="C14" s="18"/>
      <c r="D14" s="79" t="s">
        <v>166</v>
      </c>
      <c r="E14" s="79" t="s">
        <v>302</v>
      </c>
      <c r="F14" s="78" t="s">
        <v>199</v>
      </c>
      <c r="G14" s="353" t="s">
        <v>323</v>
      </c>
      <c r="H14" s="25"/>
      <c r="I14" s="18"/>
      <c r="J14" s="19"/>
      <c r="K14" s="23"/>
      <c r="L14" s="19"/>
      <c r="M14" s="19"/>
      <c r="N14" s="19"/>
      <c r="O14" s="19"/>
    </row>
    <row r="15" spans="1:16" s="208" customFormat="1" ht="15" customHeight="1" x14ac:dyDescent="0.25">
      <c r="A15" s="149"/>
      <c r="B15" s="145"/>
      <c r="C15" s="24" t="s">
        <v>135</v>
      </c>
      <c r="D15" s="503" t="s">
        <v>167</v>
      </c>
      <c r="E15" s="503" t="s">
        <v>167</v>
      </c>
      <c r="F15" s="503" t="s">
        <v>167</v>
      </c>
      <c r="G15" s="815"/>
      <c r="H15" s="815"/>
      <c r="I15" s="18"/>
      <c r="J15" s="19" t="s">
        <v>167</v>
      </c>
      <c r="K15" s="23"/>
      <c r="L15" s="19"/>
      <c r="M15" s="19"/>
      <c r="N15" s="19"/>
      <c r="O15" s="19"/>
    </row>
    <row r="16" spans="1:16" s="208" customFormat="1" ht="15" customHeight="1" x14ac:dyDescent="0.25">
      <c r="A16" s="149"/>
      <c r="B16" s="145"/>
      <c r="C16" s="24" t="s">
        <v>164</v>
      </c>
      <c r="D16" s="503" t="s">
        <v>198</v>
      </c>
      <c r="E16" s="503" t="s">
        <v>198</v>
      </c>
      <c r="F16" s="503" t="s">
        <v>198</v>
      </c>
      <c r="G16" s="815"/>
      <c r="H16" s="815"/>
      <c r="I16" s="18"/>
      <c r="J16" s="19" t="s">
        <v>198</v>
      </c>
      <c r="K16" s="23"/>
      <c r="L16" s="19"/>
      <c r="M16" s="19"/>
      <c r="N16" s="19"/>
      <c r="O16" s="19"/>
    </row>
    <row r="17" spans="1:15" s="208" customFormat="1" ht="15" customHeight="1" x14ac:dyDescent="0.25">
      <c r="A17" s="149"/>
      <c r="B17" s="145"/>
      <c r="C17" s="24" t="s">
        <v>165</v>
      </c>
      <c r="D17" s="503" t="s">
        <v>198</v>
      </c>
      <c r="E17" s="503" t="s">
        <v>198</v>
      </c>
      <c r="F17" s="503" t="s">
        <v>198</v>
      </c>
      <c r="G17" s="815"/>
      <c r="H17" s="815"/>
      <c r="I17" s="18"/>
      <c r="J17" s="19"/>
      <c r="K17" s="23"/>
      <c r="L17" s="19"/>
      <c r="M17" s="19"/>
      <c r="N17" s="19"/>
      <c r="O17" s="19"/>
    </row>
    <row r="18" spans="1:15" s="208" customFormat="1" ht="5.0999999999999996" customHeight="1" x14ac:dyDescent="0.25">
      <c r="A18" s="147"/>
      <c r="B18" s="147"/>
      <c r="C18" s="24"/>
      <c r="D18" s="62"/>
      <c r="E18" s="18"/>
      <c r="F18" s="18"/>
      <c r="G18" s="53"/>
      <c r="H18" s="25"/>
      <c r="I18" s="18"/>
      <c r="J18" s="18"/>
      <c r="L18" s="18"/>
      <c r="M18" s="18"/>
      <c r="N18" s="18"/>
      <c r="O18" s="18"/>
    </row>
    <row r="19" spans="1:15" s="208" customFormat="1" ht="18.75" x14ac:dyDescent="0.25">
      <c r="A19" s="144" t="s">
        <v>134</v>
      </c>
      <c r="B19" s="147"/>
      <c r="C19" s="24"/>
      <c r="D19" s="62"/>
      <c r="E19" s="18"/>
      <c r="F19" s="18"/>
      <c r="G19" s="53"/>
      <c r="H19" s="25"/>
      <c r="I19" s="18"/>
      <c r="J19" s="19"/>
      <c r="K19" s="23"/>
      <c r="L19" s="19"/>
      <c r="M19" s="19"/>
      <c r="N19" s="19"/>
      <c r="O19" s="19"/>
    </row>
    <row r="20" spans="1:15" s="208" customFormat="1" ht="30" customHeight="1" x14ac:dyDescent="0.25">
      <c r="A20" s="147"/>
      <c r="B20" s="247" t="s">
        <v>132</v>
      </c>
      <c r="C20" s="24"/>
      <c r="D20" s="50" t="s">
        <v>54</v>
      </c>
      <c r="E20" s="50" t="s">
        <v>92</v>
      </c>
      <c r="F20" s="50" t="s">
        <v>93</v>
      </c>
      <c r="G20" s="53"/>
      <c r="H20" s="403" t="s">
        <v>734</v>
      </c>
      <c r="I20" s="18"/>
      <c r="J20" s="19"/>
      <c r="K20" s="23"/>
      <c r="L20" s="19"/>
      <c r="M20" s="19"/>
      <c r="N20" s="19"/>
      <c r="O20" s="19"/>
    </row>
    <row r="21" spans="1:15" s="208" customFormat="1" ht="15" customHeight="1" x14ac:dyDescent="0.25">
      <c r="A21" s="147"/>
      <c r="B21" s="147"/>
      <c r="C21" s="24" t="s">
        <v>129</v>
      </c>
      <c r="D21" s="514">
        <f>D107</f>
        <v>0.16954328738662683</v>
      </c>
      <c r="E21" s="515">
        <f>E107</f>
        <v>-6.5933500650354873E-2</v>
      </c>
      <c r="F21" s="515">
        <f>F107</f>
        <v>0.34850564629473291</v>
      </c>
      <c r="G21" s="53"/>
      <c r="H21" s="18" t="s">
        <v>862</v>
      </c>
      <c r="I21" s="18"/>
      <c r="J21" s="19"/>
      <c r="K21" s="23"/>
      <c r="L21" s="19"/>
      <c r="M21" s="19"/>
      <c r="N21" s="19"/>
      <c r="O21" s="19"/>
    </row>
    <row r="22" spans="1:15" s="208" customFormat="1" ht="15" customHeight="1" x14ac:dyDescent="0.25">
      <c r="A22" s="147"/>
      <c r="B22" s="147"/>
      <c r="C22" s="24" t="s">
        <v>325</v>
      </c>
      <c r="D22" s="514">
        <f>D116</f>
        <v>0.14119358368161447</v>
      </c>
      <c r="E22" s="515"/>
      <c r="F22" s="515"/>
      <c r="G22" s="53"/>
      <c r="H22" s="18" t="s">
        <v>862</v>
      </c>
      <c r="I22" s="18"/>
      <c r="J22" s="19"/>
      <c r="K22" s="23"/>
      <c r="L22" s="19"/>
      <c r="M22" s="19"/>
      <c r="N22" s="19"/>
      <c r="O22" s="19"/>
    </row>
    <row r="23" spans="1:15" ht="15" customHeight="1" x14ac:dyDescent="0.25">
      <c r="C23" s="24" t="s">
        <v>130</v>
      </c>
      <c r="D23" s="514">
        <f>D146</f>
        <v>8.4057810418122365</v>
      </c>
      <c r="E23" s="515">
        <f>E146</f>
        <v>6.4106549981590852</v>
      </c>
      <c r="F23" s="515">
        <f>F146</f>
        <v>10.335809317273643</v>
      </c>
      <c r="G23" s="53"/>
      <c r="H23" s="18" t="s">
        <v>862</v>
      </c>
      <c r="I23" s="18"/>
      <c r="J23" s="19"/>
    </row>
    <row r="24" spans="1:15" ht="3.95" customHeight="1" x14ac:dyDescent="0.25">
      <c r="C24" s="24"/>
      <c r="D24" s="530"/>
      <c r="E24" s="531"/>
      <c r="F24" s="531"/>
      <c r="G24" s="53"/>
      <c r="I24" s="18"/>
      <c r="J24" s="19"/>
    </row>
    <row r="25" spans="1:15" ht="15" customHeight="1" x14ac:dyDescent="0.25">
      <c r="B25" s="145" t="s">
        <v>131</v>
      </c>
      <c r="C25" s="24"/>
      <c r="D25" s="514">
        <f>D151</f>
        <v>1.9125105942998917</v>
      </c>
      <c r="E25" s="531"/>
      <c r="F25" s="531"/>
      <c r="G25" s="53"/>
      <c r="H25" s="18" t="s">
        <v>863</v>
      </c>
      <c r="I25" s="18"/>
      <c r="J25" s="19"/>
    </row>
    <row r="26" spans="1:15" ht="3.95" customHeight="1" x14ac:dyDescent="0.25">
      <c r="C26" s="24"/>
      <c r="D26" s="529"/>
      <c r="E26" s="531"/>
      <c r="F26" s="531"/>
      <c r="G26" s="53"/>
      <c r="I26" s="18"/>
      <c r="J26" s="19"/>
    </row>
    <row r="27" spans="1:15" ht="15" customHeight="1" x14ac:dyDescent="0.25">
      <c r="B27" s="147" t="s">
        <v>133</v>
      </c>
      <c r="C27" s="24"/>
      <c r="D27" s="530"/>
      <c r="E27" s="531"/>
      <c r="F27" s="531"/>
      <c r="G27" s="53"/>
      <c r="I27" s="18"/>
      <c r="J27" s="19"/>
    </row>
    <row r="28" spans="1:15" ht="15" customHeight="1" x14ac:dyDescent="0.25">
      <c r="C28" s="24" t="str">
        <f>C153</f>
        <v>Nettonytte</v>
      </c>
      <c r="D28" s="514">
        <f>D153</f>
        <v>6.8040073185805863</v>
      </c>
      <c r="E28" s="515">
        <f>E153</f>
        <v>4.5734044868904533</v>
      </c>
      <c r="F28" s="515">
        <f>F153</f>
        <v>8.9129979529500982</v>
      </c>
      <c r="G28" s="53"/>
      <c r="H28" s="18" t="s">
        <v>862</v>
      </c>
      <c r="I28" s="18"/>
      <c r="J28" s="19"/>
    </row>
    <row r="29" spans="1:15" ht="15" customHeight="1" x14ac:dyDescent="0.25">
      <c r="C29" s="24" t="str">
        <f t="shared" ref="C29:F31" si="0">C154</f>
        <v>Nettonytte per budsjettkrone</v>
      </c>
      <c r="D29" s="514">
        <f t="shared" si="0"/>
        <v>3.5576311780229974</v>
      </c>
      <c r="E29" s="515">
        <f t="shared" si="0"/>
        <v>2.3913093608585361</v>
      </c>
      <c r="F29" s="515">
        <f t="shared" si="0"/>
        <v>4.6603652704014742</v>
      </c>
      <c r="G29" s="53"/>
      <c r="H29" s="18" t="s">
        <v>862</v>
      </c>
      <c r="I29" s="18"/>
      <c r="J29" s="19"/>
    </row>
    <row r="30" spans="1:15" ht="15" customHeight="1" x14ac:dyDescent="0.25">
      <c r="C30" s="24" t="str">
        <f t="shared" si="0"/>
        <v>Nyttekostnadsforhold</v>
      </c>
      <c r="D30" s="514">
        <f t="shared" si="0"/>
        <v>4.5576311780229979</v>
      </c>
      <c r="E30" s="515">
        <f t="shared" si="0"/>
        <v>3.3174830593978109</v>
      </c>
      <c r="F30" s="515">
        <f t="shared" si="0"/>
        <v>5.586538968940749</v>
      </c>
      <c r="G30" s="53"/>
      <c r="I30" s="18"/>
      <c r="J30" s="19"/>
    </row>
    <row r="31" spans="1:15" ht="15" customHeight="1" x14ac:dyDescent="0.25">
      <c r="C31" s="24" t="str">
        <f t="shared" si="0"/>
        <v>TS-effekt per mill. kroner</v>
      </c>
      <c r="D31" s="514">
        <f t="shared" si="0"/>
        <v>8.8649593833330445E-2</v>
      </c>
      <c r="E31" s="515">
        <f t="shared" si="0"/>
        <v>-3.4474842046295175E-2</v>
      </c>
      <c r="F31" s="515">
        <f t="shared" si="0"/>
        <v>0.18222416510184591</v>
      </c>
      <c r="G31" s="53"/>
      <c r="H31" s="18" t="s">
        <v>862</v>
      </c>
      <c r="I31" s="18"/>
      <c r="J31" s="19"/>
    </row>
    <row r="32" spans="1:15" ht="6" customHeight="1" x14ac:dyDescent="0.25">
      <c r="D32" s="18"/>
      <c r="E32" s="18"/>
      <c r="F32" s="18"/>
      <c r="G32" s="53"/>
      <c r="H32" s="25"/>
      <c r="I32" s="18"/>
      <c r="J32" s="19"/>
    </row>
    <row r="33" spans="1:15" ht="18.75" x14ac:dyDescent="0.25">
      <c r="A33" s="144" t="s">
        <v>0</v>
      </c>
      <c r="D33" s="231"/>
      <c r="E33" s="231"/>
      <c r="F33" s="231"/>
      <c r="G33" s="52"/>
      <c r="H33" s="21"/>
      <c r="I33" s="231"/>
    </row>
    <row r="34" spans="1:15" x14ac:dyDescent="0.25">
      <c r="A34" s="150">
        <v>1</v>
      </c>
      <c r="C34" s="24" t="s">
        <v>7</v>
      </c>
      <c r="D34" s="504">
        <v>10</v>
      </c>
      <c r="E34" s="18" t="s">
        <v>773</v>
      </c>
      <c r="F34" s="18"/>
      <c r="G34" s="53">
        <f>A34</f>
        <v>1</v>
      </c>
      <c r="H34" s="18" t="s">
        <v>407</v>
      </c>
      <c r="I34" s="231"/>
      <c r="J34" s="23">
        <v>10</v>
      </c>
    </row>
    <row r="35" spans="1:15" x14ac:dyDescent="0.25">
      <c r="A35" s="150">
        <f>MAXA(A$34:A34)+1</f>
        <v>2</v>
      </c>
      <c r="C35" s="24" t="s">
        <v>8</v>
      </c>
      <c r="D35" s="516">
        <f>'Data-beregninger'!B6</f>
        <v>4</v>
      </c>
      <c r="E35" s="18" t="s">
        <v>61</v>
      </c>
      <c r="F35" s="18"/>
      <c r="G35" s="53">
        <f>A35</f>
        <v>2</v>
      </c>
      <c r="H35" s="18" t="s">
        <v>831</v>
      </c>
      <c r="I35" s="231"/>
      <c r="J35" s="23" t="s">
        <v>383</v>
      </c>
    </row>
    <row r="36" spans="1:15" x14ac:dyDescent="0.25">
      <c r="A36" s="150">
        <f>MAXA(A$34:A35)+1</f>
        <v>3</v>
      </c>
      <c r="C36" s="24" t="s">
        <v>55</v>
      </c>
      <c r="D36" s="517">
        <f>'Data-beregninger'!B7</f>
        <v>20</v>
      </c>
      <c r="E36" s="18" t="s">
        <v>61</v>
      </c>
      <c r="F36" s="18"/>
      <c r="G36" s="53">
        <f>A36</f>
        <v>3</v>
      </c>
      <c r="H36" s="18" t="s">
        <v>832</v>
      </c>
      <c r="I36" s="231"/>
    </row>
    <row r="37" spans="1:15" x14ac:dyDescent="0.25">
      <c r="A37" s="150">
        <f>MAXA(A$34:A36)+1</f>
        <v>4</v>
      </c>
      <c r="C37" s="24" t="s">
        <v>58</v>
      </c>
      <c r="D37" s="518">
        <f>IF(D34&lt;=1,D34,(1/(D35/100))*(1-1/((100+D35)/100)^D34))</f>
        <v>8.1108957793550367</v>
      </c>
      <c r="E37" s="18"/>
      <c r="F37" s="18"/>
      <c r="G37" s="53">
        <f>A37</f>
        <v>4</v>
      </c>
      <c r="H37" s="18" t="s">
        <v>116</v>
      </c>
      <c r="I37" s="231"/>
      <c r="J37" s="23" t="s">
        <v>48</v>
      </c>
      <c r="K37" s="41">
        <f>IF(D34&lt;=1,D34,VLOOKUP(D34,K247:L271,2))</f>
        <v>9.4861195663521585</v>
      </c>
    </row>
    <row r="38" spans="1:15" x14ac:dyDescent="0.25">
      <c r="A38" s="150">
        <f>MAXA(A$34:A37)+1</f>
        <v>5</v>
      </c>
      <c r="C38" s="24" t="s">
        <v>998</v>
      </c>
      <c r="D38" s="601">
        <f>'Data-beregninger'!$C$3</f>
        <v>2014</v>
      </c>
      <c r="E38" s="18"/>
      <c r="F38" s="18"/>
      <c r="G38" s="53">
        <f>A38</f>
        <v>5</v>
      </c>
      <c r="H38" s="18" t="s">
        <v>1000</v>
      </c>
      <c r="I38" s="497"/>
      <c r="K38" s="41"/>
    </row>
    <row r="39" spans="1:15" ht="15.75" customHeight="1" x14ac:dyDescent="0.25">
      <c r="A39" s="151"/>
      <c r="B39" s="145" t="s">
        <v>77</v>
      </c>
      <c r="C39" s="24"/>
      <c r="D39" s="430" t="s">
        <v>989</v>
      </c>
      <c r="E39" s="431" t="s">
        <v>172</v>
      </c>
      <c r="F39" s="431" t="s">
        <v>173</v>
      </c>
      <c r="G39" s="305" t="str">
        <f>CONCATENATE(A40,"-",A42)</f>
        <v>6-8</v>
      </c>
      <c r="H39" s="813" t="s">
        <v>866</v>
      </c>
      <c r="I39" s="231"/>
    </row>
    <row r="40" spans="1:15" ht="15.75" customHeight="1" x14ac:dyDescent="0.25">
      <c r="A40" s="150">
        <f>MAXA(A$34:A39)+1</f>
        <v>6</v>
      </c>
      <c r="B40" s="145"/>
      <c r="C40" s="24" t="s">
        <v>176</v>
      </c>
      <c r="D40" s="504">
        <v>1</v>
      </c>
      <c r="E40" s="504">
        <v>10</v>
      </c>
      <c r="F40" s="505"/>
      <c r="G40" s="53"/>
      <c r="H40" s="812"/>
      <c r="I40" s="231"/>
    </row>
    <row r="41" spans="1:15" ht="15.75" customHeight="1" x14ac:dyDescent="0.25">
      <c r="A41" s="150">
        <f>MAXA(A$34:A40)+1</f>
        <v>7</v>
      </c>
      <c r="B41" s="145"/>
      <c r="C41" s="24" t="s">
        <v>174</v>
      </c>
      <c r="D41" s="506">
        <v>80000</v>
      </c>
      <c r="E41" s="506">
        <v>80000</v>
      </c>
      <c r="F41" s="507">
        <v>0</v>
      </c>
      <c r="G41" s="53"/>
      <c r="H41" s="812"/>
      <c r="I41" s="231"/>
    </row>
    <row r="42" spans="1:15" ht="15.75" customHeight="1" x14ac:dyDescent="0.25">
      <c r="A42" s="150">
        <f>MAXA(A$34:A41)+1</f>
        <v>8</v>
      </c>
      <c r="B42" s="145"/>
      <c r="C42" s="24" t="s">
        <v>175</v>
      </c>
      <c r="D42" s="507">
        <v>8000</v>
      </c>
      <c r="E42" s="507">
        <v>8000</v>
      </c>
      <c r="F42" s="507">
        <v>0</v>
      </c>
      <c r="G42" s="53"/>
      <c r="H42" s="812"/>
      <c r="I42" s="231"/>
    </row>
    <row r="43" spans="1:15" ht="15.75" x14ac:dyDescent="0.25">
      <c r="A43" s="151"/>
      <c r="B43" s="145" t="s">
        <v>78</v>
      </c>
      <c r="C43" s="24"/>
      <c r="D43" s="231"/>
      <c r="E43" s="18"/>
      <c r="F43" s="18"/>
      <c r="G43" s="53"/>
      <c r="H43" s="21"/>
      <c r="I43" s="231"/>
    </row>
    <row r="44" spans="1:15" x14ac:dyDescent="0.25">
      <c r="A44" s="150">
        <f>MAXA(A$34:A43)+1</f>
        <v>9</v>
      </c>
      <c r="C44" s="24" t="s">
        <v>16</v>
      </c>
      <c r="D44" s="854" t="s">
        <v>31</v>
      </c>
      <c r="E44" s="819"/>
      <c r="F44" s="819"/>
      <c r="G44" s="53">
        <f t="shared" ref="G44:G52" si="1">A44</f>
        <v>9</v>
      </c>
      <c r="H44" s="18" t="s">
        <v>999</v>
      </c>
      <c r="I44" s="231"/>
    </row>
    <row r="45" spans="1:15" x14ac:dyDescent="0.25">
      <c r="A45" s="150">
        <f>MAXA(A$34:A44)+1</f>
        <v>10</v>
      </c>
      <c r="C45" s="24" t="s">
        <v>265</v>
      </c>
      <c r="D45" s="554"/>
      <c r="E45" s="854" t="s">
        <v>267</v>
      </c>
      <c r="F45" s="819"/>
      <c r="G45" s="53">
        <f t="shared" si="1"/>
        <v>10</v>
      </c>
      <c r="H45" s="18" t="s">
        <v>269</v>
      </c>
      <c r="I45" s="231"/>
      <c r="J45" s="23" t="str">
        <f>'Data-beregninger'!A100</f>
        <v>Annet område</v>
      </c>
    </row>
    <row r="46" spans="1:15" x14ac:dyDescent="0.25">
      <c r="A46" s="150">
        <f>MAXA(A$34:A45)+1</f>
        <v>11</v>
      </c>
      <c r="C46" s="24" t="s">
        <v>2</v>
      </c>
      <c r="D46" s="506">
        <v>500</v>
      </c>
      <c r="E46" s="18" t="s">
        <v>43</v>
      </c>
      <c r="F46" s="29"/>
      <c r="G46" s="53">
        <f t="shared" si="1"/>
        <v>11</v>
      </c>
      <c r="H46" s="80" t="s">
        <v>867</v>
      </c>
      <c r="I46" s="231"/>
      <c r="J46" s="23" t="str">
        <f>'Data-beregninger'!A101</f>
        <v>By</v>
      </c>
    </row>
    <row r="47" spans="1:15" x14ac:dyDescent="0.25">
      <c r="A47" s="150">
        <f>MAXA(A$34:A46)+1</f>
        <v>12</v>
      </c>
      <c r="C47" s="24" t="s">
        <v>3</v>
      </c>
      <c r="D47" s="506">
        <v>50000</v>
      </c>
      <c r="E47" s="18" t="s">
        <v>4</v>
      </c>
      <c r="F47" s="29"/>
      <c r="G47" s="53">
        <f t="shared" si="1"/>
        <v>12</v>
      </c>
      <c r="H47" s="80" t="s">
        <v>457</v>
      </c>
      <c r="I47" s="231"/>
      <c r="J47" s="23" t="str">
        <f>'Data-beregninger'!A102</f>
        <v>Storby</v>
      </c>
    </row>
    <row r="48" spans="1:15" s="81" customFormat="1" x14ac:dyDescent="0.25">
      <c r="A48" s="210">
        <f>MAXA(A$34:A47)+1</f>
        <v>13</v>
      </c>
      <c r="B48" s="211"/>
      <c r="C48" s="85" t="s">
        <v>169</v>
      </c>
      <c r="D48" s="555">
        <v>40</v>
      </c>
      <c r="E48" s="80" t="s">
        <v>61</v>
      </c>
      <c r="F48" s="89"/>
      <c r="G48" s="53">
        <f t="shared" si="1"/>
        <v>13</v>
      </c>
      <c r="H48" s="80" t="s">
        <v>170</v>
      </c>
      <c r="I48" s="92"/>
      <c r="J48" s="23"/>
      <c r="K48" s="93"/>
      <c r="L48" s="93"/>
      <c r="M48" s="93"/>
      <c r="N48" s="93"/>
      <c r="O48" s="93"/>
    </row>
    <row r="49" spans="1:12" x14ac:dyDescent="0.25">
      <c r="A49" s="150">
        <f>MAXA(A$34:A47)+1</f>
        <v>13</v>
      </c>
      <c r="C49" s="24" t="s">
        <v>79</v>
      </c>
      <c r="D49" s="586">
        <v>10</v>
      </c>
      <c r="E49" s="18" t="s">
        <v>61</v>
      </c>
      <c r="F49" s="29"/>
      <c r="G49" s="53">
        <f t="shared" si="1"/>
        <v>13</v>
      </c>
      <c r="H49" s="80" t="s">
        <v>119</v>
      </c>
      <c r="I49" s="231"/>
    </row>
    <row r="50" spans="1:12" x14ac:dyDescent="0.25">
      <c r="A50" s="150">
        <f>MAXA(A$34:A49)+1</f>
        <v>14</v>
      </c>
      <c r="C50" s="24" t="s">
        <v>94</v>
      </c>
      <c r="D50" s="586">
        <v>2</v>
      </c>
      <c r="E50" s="18" t="s">
        <v>61</v>
      </c>
      <c r="F50" s="29"/>
      <c r="G50" s="53">
        <f t="shared" si="1"/>
        <v>14</v>
      </c>
      <c r="H50" s="80" t="s">
        <v>120</v>
      </c>
      <c r="I50" s="231"/>
    </row>
    <row r="51" spans="1:12" x14ac:dyDescent="0.25">
      <c r="A51" s="150">
        <f>MAXA(A$34:A50)+1</f>
        <v>15</v>
      </c>
      <c r="C51" s="24" t="s">
        <v>239</v>
      </c>
      <c r="D51" s="586">
        <v>40</v>
      </c>
      <c r="E51" s="18" t="s">
        <v>61</v>
      </c>
      <c r="F51" s="29"/>
      <c r="G51" s="53">
        <f t="shared" si="1"/>
        <v>15</v>
      </c>
      <c r="H51" s="80" t="s">
        <v>240</v>
      </c>
      <c r="I51" s="231"/>
    </row>
    <row r="52" spans="1:12" x14ac:dyDescent="0.25">
      <c r="A52" s="150">
        <f>MAXA(A$34:A51)+1</f>
        <v>16</v>
      </c>
      <c r="C52" s="24" t="s">
        <v>46</v>
      </c>
      <c r="D52" s="586">
        <v>3</v>
      </c>
      <c r="E52" s="18" t="s">
        <v>61</v>
      </c>
      <c r="F52" s="29"/>
      <c r="G52" s="53">
        <f t="shared" si="1"/>
        <v>16</v>
      </c>
      <c r="H52" s="80" t="s">
        <v>121</v>
      </c>
      <c r="I52" s="231"/>
    </row>
    <row r="53" spans="1:12" ht="15" customHeight="1" x14ac:dyDescent="0.25">
      <c r="A53" s="150">
        <f>MAXA(A$34:A52)+1</f>
        <v>17</v>
      </c>
      <c r="C53" s="24" t="s">
        <v>109</v>
      </c>
      <c r="D53" s="506">
        <v>20</v>
      </c>
      <c r="E53" s="18" t="s">
        <v>61</v>
      </c>
      <c r="F53" s="29"/>
      <c r="G53" s="305" t="str">
        <f>CONCATENATE(A53,"-",A55)</f>
        <v>17-19</v>
      </c>
      <c r="H53" s="813" t="s">
        <v>1010</v>
      </c>
      <c r="I53" s="231"/>
    </row>
    <row r="54" spans="1:12" x14ac:dyDescent="0.25">
      <c r="A54" s="150">
        <f>MAXA(A$34:A53)+1</f>
        <v>18</v>
      </c>
      <c r="C54" s="24" t="s">
        <v>111</v>
      </c>
      <c r="D54" s="507">
        <v>0</v>
      </c>
      <c r="E54" s="18" t="s">
        <v>61</v>
      </c>
      <c r="F54" s="29"/>
      <c r="G54" s="55"/>
      <c r="H54" s="813"/>
      <c r="I54" s="231"/>
    </row>
    <row r="55" spans="1:12" x14ac:dyDescent="0.25">
      <c r="A55" s="150">
        <f>MAXA(A$34:A54)+1</f>
        <v>19</v>
      </c>
      <c r="C55" s="24" t="s">
        <v>110</v>
      </c>
      <c r="D55" s="507">
        <v>0</v>
      </c>
      <c r="E55" s="18" t="s">
        <v>61</v>
      </c>
      <c r="F55" s="29"/>
      <c r="G55" s="55"/>
      <c r="H55" s="813"/>
      <c r="I55" s="231"/>
    </row>
    <row r="56" spans="1:12" ht="15" customHeight="1" x14ac:dyDescent="0.25">
      <c r="A56" s="150"/>
      <c r="B56" s="145" t="s">
        <v>123</v>
      </c>
      <c r="C56" s="24"/>
      <c r="D56" s="18"/>
      <c r="E56" s="18"/>
      <c r="F56" s="29"/>
      <c r="G56" s="55"/>
      <c r="H56" s="225"/>
      <c r="I56" s="231"/>
    </row>
    <row r="57" spans="1:12" x14ac:dyDescent="0.25">
      <c r="A57" s="150">
        <f>MAXA(A$34:A56)+1</f>
        <v>20</v>
      </c>
      <c r="C57" s="24" t="s">
        <v>9</v>
      </c>
      <c r="D57" s="519">
        <f>VLOOKUP(D44,'Data-beregninger'!B25:C34,2)</f>
        <v>0.13601807999999999</v>
      </c>
      <c r="E57" s="18" t="s">
        <v>144</v>
      </c>
      <c r="F57" s="29"/>
      <c r="G57" s="53">
        <f>A57</f>
        <v>20</v>
      </c>
      <c r="H57" s="18" t="s">
        <v>95</v>
      </c>
      <c r="I57" s="231"/>
    </row>
    <row r="58" spans="1:12" x14ac:dyDescent="0.25">
      <c r="A58" s="150">
        <f>MAXA(A$34:A57)+1</f>
        <v>21</v>
      </c>
      <c r="C58" s="24" t="s">
        <v>141</v>
      </c>
      <c r="D58" s="556">
        <v>0.4</v>
      </c>
      <c r="E58" s="18" t="s">
        <v>124</v>
      </c>
      <c r="F58" s="29"/>
      <c r="G58" s="305" t="str">
        <f>CONCATENATE(A58,"-",A60)</f>
        <v>21-23</v>
      </c>
      <c r="H58" s="812" t="s">
        <v>937</v>
      </c>
      <c r="I58" s="423"/>
    </row>
    <row r="59" spans="1:12" x14ac:dyDescent="0.25">
      <c r="A59" s="150">
        <f>MAXA(A$34:A58)+1</f>
        <v>22</v>
      </c>
      <c r="C59" s="24" t="s">
        <v>142</v>
      </c>
      <c r="D59" s="556">
        <v>1</v>
      </c>
      <c r="E59" s="18" t="s">
        <v>124</v>
      </c>
      <c r="F59" s="29"/>
      <c r="G59" s="53"/>
      <c r="H59" s="812"/>
      <c r="I59" s="423"/>
    </row>
    <row r="60" spans="1:12" x14ac:dyDescent="0.25">
      <c r="A60" s="150">
        <f>MAXA(A$34:A59)+1</f>
        <v>23</v>
      </c>
      <c r="C60" s="24" t="s">
        <v>143</v>
      </c>
      <c r="D60" s="556">
        <v>1</v>
      </c>
      <c r="E60" s="18" t="s">
        <v>124</v>
      </c>
      <c r="F60" s="29"/>
      <c r="G60" s="53"/>
      <c r="H60" s="812"/>
      <c r="I60" s="423"/>
    </row>
    <row r="61" spans="1:12" ht="15.75" x14ac:dyDescent="0.25">
      <c r="A61" s="150"/>
      <c r="B61" s="145" t="s">
        <v>381</v>
      </c>
      <c r="C61" s="24"/>
      <c r="D61" s="133" t="s">
        <v>54</v>
      </c>
      <c r="E61" s="133" t="s">
        <v>92</v>
      </c>
      <c r="F61" s="133" t="s">
        <v>93</v>
      </c>
      <c r="G61" s="53"/>
      <c r="H61" s="812"/>
      <c r="I61" s="231"/>
      <c r="L61" s="23"/>
    </row>
    <row r="62" spans="1:12" x14ac:dyDescent="0.25">
      <c r="A62" s="150">
        <f>MAXA(A$34:A61)+1</f>
        <v>24</v>
      </c>
      <c r="C62" s="24" t="s">
        <v>835</v>
      </c>
      <c r="D62" s="507">
        <v>-18</v>
      </c>
      <c r="E62" s="557">
        <v>7</v>
      </c>
      <c r="F62" s="557">
        <v>-37</v>
      </c>
      <c r="G62" s="53">
        <f>A62</f>
        <v>24</v>
      </c>
      <c r="H62" s="424" t="s">
        <v>838</v>
      </c>
      <c r="I62" s="231"/>
      <c r="L62" s="23"/>
    </row>
    <row r="63" spans="1:12" x14ac:dyDescent="0.25">
      <c r="A63" s="150"/>
      <c r="C63" s="24" t="s">
        <v>836</v>
      </c>
      <c r="D63" s="507"/>
      <c r="E63" s="557"/>
      <c r="F63" s="557"/>
      <c r="G63" s="53"/>
      <c r="H63" s="424"/>
      <c r="I63" s="423"/>
      <c r="L63" s="23"/>
    </row>
    <row r="64" spans="1:12" x14ac:dyDescent="0.25">
      <c r="A64" s="150"/>
      <c r="C64" s="24" t="s">
        <v>837</v>
      </c>
      <c r="D64" s="507"/>
      <c r="E64" s="557"/>
      <c r="F64" s="557"/>
      <c r="G64" s="53"/>
      <c r="H64" s="424"/>
      <c r="I64" s="423"/>
      <c r="L64" s="23"/>
    </row>
    <row r="65" spans="1:15" hidden="1" x14ac:dyDescent="0.25">
      <c r="A65" s="219"/>
      <c r="B65" s="31"/>
      <c r="C65" s="22" t="s">
        <v>56</v>
      </c>
      <c r="D65" s="159">
        <f>D62</f>
        <v>-18</v>
      </c>
      <c r="E65" s="159">
        <f>IF(COUNT(E62:F62)=2,MAXA(E62:F62),"")</f>
        <v>7</v>
      </c>
      <c r="F65" s="159">
        <f>IF(COUNT(E62:F62)=2,MIN(E62:F62),"")</f>
        <v>-37</v>
      </c>
      <c r="H65" s="220">
        <f>IF(COUNT(E65)=1,1,"X")</f>
        <v>1</v>
      </c>
      <c r="L65" s="23"/>
    </row>
    <row r="66" spans="1:15" hidden="1" x14ac:dyDescent="0.25">
      <c r="A66" s="219"/>
      <c r="B66" s="31"/>
      <c r="C66" s="22" t="s">
        <v>56</v>
      </c>
      <c r="D66" s="159">
        <f>D63</f>
        <v>0</v>
      </c>
      <c r="E66" s="159" t="str">
        <f>IF(COUNT(E63:F63)=2,MAXA(E63:F63),"")</f>
        <v/>
      </c>
      <c r="F66" s="159" t="str">
        <f>IF(COUNT(E63:F63)=2,MIN(E63:F63),"")</f>
        <v/>
      </c>
      <c r="H66" s="220" t="str">
        <f>IF(COUNT(E66)=1,1,"X")</f>
        <v>X</v>
      </c>
      <c r="L66" s="23"/>
    </row>
    <row r="67" spans="1:15" hidden="1" x14ac:dyDescent="0.25">
      <c r="A67" s="219"/>
      <c r="B67" s="31"/>
      <c r="C67" s="22" t="s">
        <v>56</v>
      </c>
      <c r="D67" s="159">
        <f>D64</f>
        <v>0</v>
      </c>
      <c r="E67" s="159" t="str">
        <f>IF(COUNT(E64:F64)=2,MAXA(E64:F64),"")</f>
        <v/>
      </c>
      <c r="F67" s="159" t="str">
        <f>IF(COUNT(E64:F64)=2,MIN(E64:F64),"")</f>
        <v/>
      </c>
      <c r="H67" s="220" t="str">
        <f>IF(COUNT(E67)=1,1,"X")</f>
        <v>X</v>
      </c>
      <c r="L67" s="23"/>
    </row>
    <row r="68" spans="1:15" s="81" customFormat="1" ht="15" customHeight="1" x14ac:dyDescent="0.25">
      <c r="A68" s="210"/>
      <c r="B68" s="211" t="s">
        <v>367</v>
      </c>
      <c r="C68" s="85"/>
      <c r="D68" s="97" t="s">
        <v>178</v>
      </c>
      <c r="E68" s="97" t="s">
        <v>179</v>
      </c>
      <c r="F68" s="87"/>
      <c r="G68" s="90"/>
      <c r="H68" s="91"/>
      <c r="I68" s="92"/>
      <c r="J68" s="212" t="s">
        <v>193</v>
      </c>
      <c r="K68" s="212" t="s">
        <v>194</v>
      </c>
      <c r="L68" s="93"/>
      <c r="M68" s="93"/>
      <c r="N68" s="93"/>
      <c r="O68" s="93"/>
    </row>
    <row r="69" spans="1:15" s="81" customFormat="1" ht="15" customHeight="1" x14ac:dyDescent="0.25">
      <c r="A69" s="210">
        <f>MAXA(A$34:A68)+1</f>
        <v>25</v>
      </c>
      <c r="B69" s="211"/>
      <c r="C69" s="85" t="s">
        <v>180</v>
      </c>
      <c r="D69" s="558">
        <v>30</v>
      </c>
      <c r="E69" s="558">
        <v>27</v>
      </c>
      <c r="F69" s="80" t="s">
        <v>61</v>
      </c>
      <c r="G69" s="305" t="str">
        <f>CONCATENATE(A69,"-",A80)</f>
        <v>25-36</v>
      </c>
      <c r="H69" s="850" t="s">
        <v>1009</v>
      </c>
      <c r="I69" s="92"/>
      <c r="J69" s="213"/>
      <c r="K69" s="213"/>
      <c r="L69" s="93"/>
      <c r="M69" s="93"/>
      <c r="N69" s="93"/>
      <c r="O69" s="93"/>
    </row>
    <row r="70" spans="1:15" s="81" customFormat="1" ht="15" customHeight="1" x14ac:dyDescent="0.25">
      <c r="A70" s="210">
        <f>MAXA(A$34:A69)+1</f>
        <v>26</v>
      </c>
      <c r="B70" s="211"/>
      <c r="C70" s="85" t="s">
        <v>181</v>
      </c>
      <c r="D70" s="558">
        <v>60</v>
      </c>
      <c r="E70" s="558">
        <v>60</v>
      </c>
      <c r="F70" s="80" t="s">
        <v>61</v>
      </c>
      <c r="G70" s="90"/>
      <c r="H70" s="850"/>
      <c r="I70" s="92"/>
      <c r="J70" s="213"/>
      <c r="K70" s="213"/>
      <c r="L70" s="93"/>
      <c r="M70" s="93"/>
      <c r="N70" s="93"/>
      <c r="O70" s="93"/>
    </row>
    <row r="71" spans="1:15" s="81" customFormat="1" ht="15" customHeight="1" x14ac:dyDescent="0.25">
      <c r="A71" s="210">
        <f>MAXA(A$34:A70)+1</f>
        <v>27</v>
      </c>
      <c r="B71" s="211"/>
      <c r="C71" s="85" t="s">
        <v>182</v>
      </c>
      <c r="D71" s="559">
        <f>100-D69-D70</f>
        <v>10</v>
      </c>
      <c r="E71" s="559">
        <f>100-E69-E70</f>
        <v>13</v>
      </c>
      <c r="F71" s="80" t="s">
        <v>61</v>
      </c>
      <c r="G71" s="90"/>
      <c r="H71" s="850"/>
      <c r="I71" s="92"/>
      <c r="J71" s="213"/>
      <c r="K71" s="213"/>
      <c r="L71" s="93"/>
      <c r="M71" s="93"/>
      <c r="N71" s="93"/>
      <c r="O71" s="93"/>
    </row>
    <row r="72" spans="1:15" s="81" customFormat="1" ht="15" customHeight="1" x14ac:dyDescent="0.25">
      <c r="A72" s="210">
        <f>MAXA(A$34:A71)+1</f>
        <v>28</v>
      </c>
      <c r="B72" s="211"/>
      <c r="C72" s="85" t="s">
        <v>189</v>
      </c>
      <c r="D72" s="555">
        <v>85</v>
      </c>
      <c r="E72" s="558">
        <v>85</v>
      </c>
      <c r="F72" s="80" t="s">
        <v>115</v>
      </c>
      <c r="G72" s="90"/>
      <c r="H72" s="850"/>
      <c r="I72" s="92"/>
      <c r="J72" s="213">
        <f>IF(COUNT(D69:D72)=4,(D69*13+D70*30+D71*D72)/100,"-")</f>
        <v>30.4</v>
      </c>
      <c r="K72" s="213">
        <f>IF(COUNT(E69:E72)=4,(E69*13+E70*30+E71*E72)/100,"-")</f>
        <v>32.56</v>
      </c>
      <c r="L72" s="93"/>
      <c r="M72" s="93"/>
      <c r="N72" s="93"/>
      <c r="O72" s="93"/>
    </row>
    <row r="73" spans="1:15" s="81" customFormat="1" ht="15" customHeight="1" x14ac:dyDescent="0.25">
      <c r="A73" s="210">
        <f>MAXA(A$34:A72)+1</f>
        <v>29</v>
      </c>
      <c r="B73" s="211"/>
      <c r="C73" s="85" t="s">
        <v>183</v>
      </c>
      <c r="D73" s="558"/>
      <c r="E73" s="558"/>
      <c r="F73" s="80" t="s">
        <v>61</v>
      </c>
      <c r="G73" s="90"/>
      <c r="H73" s="850"/>
      <c r="I73" s="92"/>
      <c r="J73" s="213"/>
      <c r="K73" s="213"/>
      <c r="L73" s="93"/>
      <c r="M73" s="93"/>
      <c r="N73" s="93"/>
      <c r="O73" s="93"/>
    </row>
    <row r="74" spans="1:15" s="81" customFormat="1" ht="15" customHeight="1" x14ac:dyDescent="0.25">
      <c r="A74" s="210">
        <f>MAXA(A$34:A73)+1</f>
        <v>30</v>
      </c>
      <c r="B74" s="211"/>
      <c r="C74" s="85" t="s">
        <v>184</v>
      </c>
      <c r="D74" s="558"/>
      <c r="E74" s="558"/>
      <c r="F74" s="80" t="s">
        <v>61</v>
      </c>
      <c r="G74" s="90"/>
      <c r="H74" s="850"/>
      <c r="I74" s="92"/>
      <c r="J74" s="213"/>
      <c r="K74" s="213"/>
      <c r="L74" s="93"/>
      <c r="M74" s="93"/>
      <c r="N74" s="93"/>
      <c r="O74" s="93"/>
    </row>
    <row r="75" spans="1:15" s="81" customFormat="1" ht="15" customHeight="1" x14ac:dyDescent="0.25">
      <c r="A75" s="210">
        <f>MAXA(A$34:A74)+1</f>
        <v>31</v>
      </c>
      <c r="B75" s="211"/>
      <c r="C75" s="85" t="s">
        <v>185</v>
      </c>
      <c r="D75" s="559">
        <f>100-D73-D74</f>
        <v>100</v>
      </c>
      <c r="E75" s="559">
        <f>100-E73-E74</f>
        <v>100</v>
      </c>
      <c r="F75" s="80" t="s">
        <v>61</v>
      </c>
      <c r="G75" s="90"/>
      <c r="H75" s="850"/>
      <c r="I75" s="92"/>
      <c r="J75" s="213"/>
      <c r="K75" s="213"/>
      <c r="L75" s="93"/>
      <c r="M75" s="93"/>
      <c r="N75" s="93"/>
      <c r="O75" s="93"/>
    </row>
    <row r="76" spans="1:15" s="81" customFormat="1" ht="15" customHeight="1" x14ac:dyDescent="0.25">
      <c r="A76" s="210">
        <f>MAXA(A$34:A75)+1</f>
        <v>32</v>
      </c>
      <c r="B76" s="211"/>
      <c r="C76" s="85" t="s">
        <v>190</v>
      </c>
      <c r="D76" s="555"/>
      <c r="E76" s="558"/>
      <c r="F76" s="80" t="s">
        <v>115</v>
      </c>
      <c r="G76" s="90"/>
      <c r="H76" s="850"/>
      <c r="I76" s="92"/>
      <c r="J76" s="213" t="str">
        <f>IF(COUNT(D73:D76)=4,(D73*13+D74*30+D75*D76)/100,"-")</f>
        <v>-</v>
      </c>
      <c r="K76" s="213" t="str">
        <f>IF(COUNT(E73:E76)=4,(E73*13+E74*30+E75*E76)/100,"-")</f>
        <v>-</v>
      </c>
      <c r="L76" s="93"/>
      <c r="M76" s="93"/>
      <c r="N76" s="93"/>
      <c r="O76" s="93"/>
    </row>
    <row r="77" spans="1:15" s="81" customFormat="1" ht="15" customHeight="1" x14ac:dyDescent="0.25">
      <c r="A77" s="210">
        <f>MAXA(A$34:A76)+1</f>
        <v>33</v>
      </c>
      <c r="B77" s="211"/>
      <c r="C77" s="85" t="s">
        <v>186</v>
      </c>
      <c r="D77" s="558"/>
      <c r="E77" s="558"/>
      <c r="F77" s="80" t="s">
        <v>61</v>
      </c>
      <c r="G77" s="90"/>
      <c r="H77" s="850"/>
      <c r="I77" s="92"/>
      <c r="J77" s="213"/>
      <c r="K77" s="213"/>
      <c r="L77" s="93"/>
      <c r="M77" s="93"/>
      <c r="N77" s="93"/>
      <c r="O77" s="93"/>
    </row>
    <row r="78" spans="1:15" s="81" customFormat="1" ht="15" customHeight="1" x14ac:dyDescent="0.25">
      <c r="A78" s="210">
        <f>MAXA(A$34:A77)+1</f>
        <v>34</v>
      </c>
      <c r="B78" s="211"/>
      <c r="C78" s="85" t="s">
        <v>187</v>
      </c>
      <c r="D78" s="558"/>
      <c r="E78" s="558"/>
      <c r="F78" s="80" t="s">
        <v>61</v>
      </c>
      <c r="G78" s="90"/>
      <c r="H78" s="850"/>
      <c r="I78" s="92"/>
      <c r="J78" s="213"/>
      <c r="K78" s="213"/>
      <c r="L78" s="93"/>
      <c r="M78" s="93"/>
      <c r="N78" s="93"/>
      <c r="O78" s="93"/>
    </row>
    <row r="79" spans="1:15" s="81" customFormat="1" ht="15" customHeight="1" x14ac:dyDescent="0.25">
      <c r="A79" s="210">
        <f>MAXA(A$34:A78)+1</f>
        <v>35</v>
      </c>
      <c r="B79" s="211"/>
      <c r="C79" s="85" t="s">
        <v>188</v>
      </c>
      <c r="D79" s="559">
        <f>100-D77-D78</f>
        <v>100</v>
      </c>
      <c r="E79" s="559">
        <f>100-E77-E78</f>
        <v>100</v>
      </c>
      <c r="F79" s="80" t="s">
        <v>61</v>
      </c>
      <c r="G79" s="90"/>
      <c r="H79" s="850"/>
      <c r="I79" s="92"/>
      <c r="J79" s="213"/>
      <c r="K79" s="213"/>
      <c r="L79" s="93"/>
      <c r="M79" s="93"/>
      <c r="N79" s="93"/>
      <c r="O79" s="93"/>
    </row>
    <row r="80" spans="1:15" s="81" customFormat="1" ht="15" customHeight="1" x14ac:dyDescent="0.25">
      <c r="A80" s="210">
        <f>MAXA(A$34:A79)+1</f>
        <v>36</v>
      </c>
      <c r="B80" s="211"/>
      <c r="C80" s="85" t="s">
        <v>191</v>
      </c>
      <c r="D80" s="555"/>
      <c r="E80" s="558"/>
      <c r="F80" s="80" t="s">
        <v>115</v>
      </c>
      <c r="G80" s="90"/>
      <c r="H80" s="850"/>
      <c r="I80" s="92"/>
      <c r="J80" s="213" t="str">
        <f>IF(COUNT(D77:D80)=4,(D77*13+D78*30+D79*D80)/100,"-")</f>
        <v>-</v>
      </c>
      <c r="K80" s="213" t="str">
        <f>IF(COUNT(E77:E80)=4,(E77*13+E78*30+E79*E80)/100,"-")</f>
        <v>-</v>
      </c>
      <c r="L80" s="93"/>
      <c r="M80" s="93"/>
      <c r="N80" s="93"/>
      <c r="O80" s="93"/>
    </row>
    <row r="81" spans="1:18" ht="18.75" x14ac:dyDescent="0.25">
      <c r="A81" s="144" t="s">
        <v>5</v>
      </c>
      <c r="B81" s="145"/>
      <c r="D81" s="18"/>
      <c r="E81" s="18"/>
      <c r="F81" s="18"/>
      <c r="G81" s="82"/>
      <c r="I81" s="231"/>
    </row>
    <row r="82" spans="1:18" ht="15" customHeight="1" x14ac:dyDescent="0.25">
      <c r="A82" s="144"/>
      <c r="B82" s="148" t="s">
        <v>163</v>
      </c>
      <c r="D82" s="18"/>
      <c r="E82" s="18"/>
      <c r="F82" s="18"/>
      <c r="G82" s="82"/>
      <c r="I82" s="231"/>
    </row>
    <row r="83" spans="1:18" s="19" customFormat="1" ht="15" hidden="1" customHeight="1" x14ac:dyDescent="0.25">
      <c r="A83" s="161"/>
      <c r="B83" s="162"/>
      <c r="C83" s="22" t="s">
        <v>56</v>
      </c>
      <c r="G83" s="84"/>
      <c r="J83" s="272" t="s">
        <v>195</v>
      </c>
      <c r="K83" s="272" t="s">
        <v>202</v>
      </c>
      <c r="L83" s="280" t="s">
        <v>203</v>
      </c>
      <c r="M83" s="280"/>
      <c r="N83" s="273"/>
      <c r="O83" s="273"/>
      <c r="P83" s="273"/>
      <c r="Q83" s="273"/>
      <c r="R83" s="273"/>
    </row>
    <row r="84" spans="1:18" s="19" customFormat="1" ht="15" hidden="1" customHeight="1" x14ac:dyDescent="0.25">
      <c r="A84" s="161"/>
      <c r="B84" s="132"/>
      <c r="C84" s="22" t="s">
        <v>56</v>
      </c>
      <c r="D84" s="221"/>
      <c r="E84" s="222"/>
      <c r="F84" s="222"/>
      <c r="G84" s="84"/>
      <c r="H84" s="270"/>
      <c r="J84" s="272" t="s">
        <v>201</v>
      </c>
      <c r="K84" s="281">
        <f>COUNTA(D34,D40:E41,D46,D47,D53)</f>
        <v>8</v>
      </c>
      <c r="L84" s="280">
        <v>8</v>
      </c>
      <c r="M84" s="280"/>
      <c r="N84" s="273"/>
      <c r="O84" s="280">
        <f>IF(K84=L84,0,1)</f>
        <v>0</v>
      </c>
      <c r="P84" s="280" t="str">
        <f>IF(K84=L84,""," - Oransje celler")</f>
        <v/>
      </c>
      <c r="Q84" s="280"/>
      <c r="R84" s="280"/>
    </row>
    <row r="85" spans="1:18" s="19" customFormat="1" ht="15" hidden="1" customHeight="1" x14ac:dyDescent="0.25">
      <c r="A85" s="163"/>
      <c r="B85" s="132"/>
      <c r="C85" s="22" t="s">
        <v>56</v>
      </c>
      <c r="G85" s="84"/>
      <c r="H85" s="270"/>
      <c r="J85" s="272"/>
      <c r="K85" s="272" t="s">
        <v>516</v>
      </c>
      <c r="L85" s="280" t="s">
        <v>302</v>
      </c>
      <c r="M85" s="280" t="s">
        <v>199</v>
      </c>
      <c r="N85" s="280"/>
      <c r="O85" s="280" t="s">
        <v>518</v>
      </c>
      <c r="P85" s="280" t="s">
        <v>302</v>
      </c>
      <c r="Q85" s="280" t="s">
        <v>199</v>
      </c>
      <c r="R85" s="280"/>
    </row>
    <row r="86" spans="1:18" s="19" customFormat="1" ht="15" hidden="1" customHeight="1" x14ac:dyDescent="0.25">
      <c r="A86" s="163"/>
      <c r="B86" s="132"/>
      <c r="C86" s="22" t="s">
        <v>56</v>
      </c>
      <c r="G86" s="84"/>
      <c r="H86" s="270"/>
      <c r="J86" s="272" t="s">
        <v>514</v>
      </c>
      <c r="K86" s="272"/>
      <c r="L86" s="280"/>
      <c r="M86" s="280"/>
      <c r="N86" s="273"/>
      <c r="O86" s="280" t="s">
        <v>517</v>
      </c>
      <c r="P86" s="280"/>
      <c r="Q86" s="280"/>
      <c r="R86" s="280"/>
    </row>
    <row r="87" spans="1:18" s="19" customFormat="1" ht="15" hidden="1" customHeight="1" x14ac:dyDescent="0.25">
      <c r="A87" s="163"/>
      <c r="B87" s="132"/>
      <c r="C87" s="22" t="s">
        <v>56</v>
      </c>
      <c r="G87" s="84"/>
      <c r="H87" s="270"/>
      <c r="J87" s="272" t="s">
        <v>242</v>
      </c>
      <c r="K87" s="272">
        <v>3</v>
      </c>
      <c r="L87" s="272">
        <v>11</v>
      </c>
      <c r="M87" s="272">
        <v>8</v>
      </c>
      <c r="N87" s="272"/>
      <c r="O87" s="280">
        <f t="shared" ref="O87:Q89" si="2">IF(D15="Nei",0,IF(K87=K91,0,1))</f>
        <v>0</v>
      </c>
      <c r="P87" s="280">
        <f t="shared" si="2"/>
        <v>0</v>
      </c>
      <c r="Q87" s="280">
        <f t="shared" si="2"/>
        <v>0</v>
      </c>
      <c r="R87" s="280"/>
    </row>
    <row r="88" spans="1:18" s="19" customFormat="1" ht="15" hidden="1" customHeight="1" x14ac:dyDescent="0.25">
      <c r="A88" s="163"/>
      <c r="B88" s="132"/>
      <c r="C88" s="22" t="s">
        <v>56</v>
      </c>
      <c r="G88" s="84"/>
      <c r="H88" s="270"/>
      <c r="J88" s="272" t="s">
        <v>197</v>
      </c>
      <c r="K88" s="272">
        <v>4</v>
      </c>
      <c r="L88" s="272">
        <v>12</v>
      </c>
      <c r="M88" s="272">
        <v>8</v>
      </c>
      <c r="N88" s="272"/>
      <c r="O88" s="280">
        <f t="shared" si="2"/>
        <v>0</v>
      </c>
      <c r="P88" s="280">
        <f t="shared" si="2"/>
        <v>0</v>
      </c>
      <c r="Q88" s="280">
        <f t="shared" si="2"/>
        <v>0</v>
      </c>
      <c r="R88" s="280"/>
    </row>
    <row r="89" spans="1:18" s="19" customFormat="1" ht="15" hidden="1" customHeight="1" x14ac:dyDescent="0.25">
      <c r="A89" s="163"/>
      <c r="B89" s="132"/>
      <c r="C89" s="22" t="s">
        <v>56</v>
      </c>
      <c r="G89" s="84"/>
      <c r="H89" s="270"/>
      <c r="J89" s="272" t="s">
        <v>200</v>
      </c>
      <c r="K89" s="272">
        <v>4</v>
      </c>
      <c r="L89" s="272">
        <v>12</v>
      </c>
      <c r="M89" s="272">
        <v>8</v>
      </c>
      <c r="N89" s="272"/>
      <c r="O89" s="280">
        <f t="shared" si="2"/>
        <v>0</v>
      </c>
      <c r="P89" s="280">
        <f t="shared" si="2"/>
        <v>0</v>
      </c>
      <c r="Q89" s="280">
        <f t="shared" si="2"/>
        <v>0</v>
      </c>
      <c r="R89" s="280"/>
    </row>
    <row r="90" spans="1:18" s="19" customFormat="1" ht="15" hidden="1" customHeight="1" x14ac:dyDescent="0.25">
      <c r="A90" s="163"/>
      <c r="B90" s="132"/>
      <c r="C90" s="22" t="s">
        <v>56</v>
      </c>
      <c r="G90" s="84"/>
      <c r="H90" s="270"/>
      <c r="J90" s="272" t="s">
        <v>515</v>
      </c>
      <c r="K90" s="272"/>
      <c r="L90" s="272"/>
      <c r="M90" s="272"/>
      <c r="N90" s="272"/>
      <c r="O90" s="280" t="s">
        <v>519</v>
      </c>
      <c r="P90" s="280"/>
      <c r="Q90" s="280"/>
      <c r="R90" s="280"/>
    </row>
    <row r="91" spans="1:18" s="19" customFormat="1" ht="15" hidden="1" customHeight="1" x14ac:dyDescent="0.25">
      <c r="A91" s="163"/>
      <c r="B91" s="132"/>
      <c r="C91" s="22" t="s">
        <v>56</v>
      </c>
      <c r="G91" s="84"/>
      <c r="H91" s="270"/>
      <c r="J91" s="272" t="s">
        <v>242</v>
      </c>
      <c r="K91" s="272">
        <f>COUNTA(D44,D62,D58)</f>
        <v>3</v>
      </c>
      <c r="L91" s="272">
        <f>COUNTA(D48:D51,E45,D69:E70,D72:E72)</f>
        <v>11</v>
      </c>
      <c r="M91" s="272">
        <f>COUNTA(D69:E70,D72:E72,D49:D50)</f>
        <v>8</v>
      </c>
      <c r="N91" s="272"/>
      <c r="O91" s="280" t="str">
        <f t="shared" ref="O91:Q93" si="3">IF(O87=1,CONCATENATE(" - ",O$85," (",$J91,")"),"")</f>
        <v/>
      </c>
      <c r="P91" s="280" t="str">
        <f t="shared" si="3"/>
        <v/>
      </c>
      <c r="Q91" s="280" t="str">
        <f t="shared" si="3"/>
        <v/>
      </c>
      <c r="R91" s="280"/>
    </row>
    <row r="92" spans="1:18" s="19" customFormat="1" ht="15" hidden="1" customHeight="1" x14ac:dyDescent="0.25">
      <c r="A92" s="163"/>
      <c r="B92" s="132"/>
      <c r="C92" s="22" t="s">
        <v>56</v>
      </c>
      <c r="G92" s="84"/>
      <c r="H92" s="270"/>
      <c r="J92" s="272" t="s">
        <v>197</v>
      </c>
      <c r="K92" s="272">
        <f>COUNTA(D44,D63,D54,D59)</f>
        <v>3</v>
      </c>
      <c r="L92" s="272">
        <f>COUNTA(D48:D51,E45,D73:E74,D76:E76,D54)</f>
        <v>6</v>
      </c>
      <c r="M92" s="272">
        <f>COUNT(D49:D50,D73:E74,D76:E76)</f>
        <v>2</v>
      </c>
      <c r="N92" s="272"/>
      <c r="O92" s="280" t="str">
        <f t="shared" si="3"/>
        <v/>
      </c>
      <c r="P92" s="280" t="str">
        <f t="shared" si="3"/>
        <v/>
      </c>
      <c r="Q92" s="280" t="str">
        <f t="shared" si="3"/>
        <v/>
      </c>
      <c r="R92" s="273"/>
    </row>
    <row r="93" spans="1:18" s="19" customFormat="1" ht="15" hidden="1" customHeight="1" x14ac:dyDescent="0.25">
      <c r="A93" s="163"/>
      <c r="B93" s="132"/>
      <c r="C93" s="22" t="s">
        <v>56</v>
      </c>
      <c r="G93" s="306"/>
      <c r="H93" s="270"/>
      <c r="J93" s="272" t="s">
        <v>200</v>
      </c>
      <c r="K93" s="272">
        <f>COUNTA(D44,D64,D55,D60)</f>
        <v>3</v>
      </c>
      <c r="L93" s="272">
        <f>COUNTA(D48:D51,E45,D77:E78,D80:E80,D55)</f>
        <v>6</v>
      </c>
      <c r="M93" s="272">
        <f>COUNTA(D49:D50,D77:E78,D80:E80)</f>
        <v>2</v>
      </c>
      <c r="N93" s="272"/>
      <c r="O93" s="280" t="str">
        <f t="shared" si="3"/>
        <v/>
      </c>
      <c r="P93" s="280" t="str">
        <f t="shared" si="3"/>
        <v/>
      </c>
      <c r="Q93" s="280" t="str">
        <f t="shared" si="3"/>
        <v/>
      </c>
      <c r="R93" s="273"/>
    </row>
    <row r="94" spans="1:18" ht="30" customHeight="1" x14ac:dyDescent="0.25">
      <c r="A94" s="149"/>
      <c r="B94" s="145"/>
      <c r="C94" s="269" t="s">
        <v>196</v>
      </c>
      <c r="D94" s="827" t="str">
        <f>IF(SUM(O84,O87:R89)=0,"",CONCATENATE("Det mangler informasjon, sjekk beregningsforutsetninger for: ",P84,O91,O92,O93,P91,P92,P93,Q91,Q92,Q93,R91,R92,R93," eller endre Ja/Nei under 'Nyttekomponenter som inngår…'"))</f>
        <v/>
      </c>
      <c r="E94" s="853"/>
      <c r="F94" s="853"/>
      <c r="G94" s="853"/>
      <c r="H94" s="853"/>
      <c r="I94" s="231"/>
    </row>
    <row r="95" spans="1:18" ht="15" customHeight="1" x14ac:dyDescent="0.25">
      <c r="A95" s="144"/>
      <c r="B95" s="145" t="s">
        <v>112</v>
      </c>
      <c r="D95" s="133" t="s">
        <v>54</v>
      </c>
      <c r="E95" s="133" t="s">
        <v>92</v>
      </c>
      <c r="F95" s="133" t="s">
        <v>93</v>
      </c>
      <c r="G95" s="53"/>
      <c r="I95" s="231"/>
    </row>
    <row r="96" spans="1:18" ht="15" customHeight="1" x14ac:dyDescent="0.25">
      <c r="A96" s="150">
        <f>MAXA(A$34:A95)+1</f>
        <v>37</v>
      </c>
      <c r="B96" s="145"/>
      <c r="C96" s="24" t="s">
        <v>80</v>
      </c>
      <c r="D96" s="559">
        <f>IF(COUNT(J72:K72)=2,100*(-1+K72/J72),"-")</f>
        <v>7.1052631578947478</v>
      </c>
      <c r="E96" s="560">
        <f>IF(COUNT(D96)=1,D96-D96*0.25,"-")</f>
        <v>5.3289473684210611</v>
      </c>
      <c r="F96" s="560">
        <f>IF(COUNT(D96)=1,D96+D96*0.25,"-")</f>
        <v>8.8815789473684355</v>
      </c>
      <c r="G96" s="305" t="str">
        <f>CONCATENATE(A96,"-",A98)</f>
        <v>37-39</v>
      </c>
      <c r="H96" s="851" t="s">
        <v>865</v>
      </c>
      <c r="I96" s="231"/>
    </row>
    <row r="97" spans="1:15" ht="15" customHeight="1" x14ac:dyDescent="0.25">
      <c r="A97" s="150">
        <f>MAXA(A$34:A96)+1</f>
        <v>38</v>
      </c>
      <c r="B97" s="145"/>
      <c r="C97" s="24" t="s">
        <v>81</v>
      </c>
      <c r="D97" s="559" t="str">
        <f>IF(COUNT(J76:K76)=2,100*(-1+K76/J76),"-")</f>
        <v>-</v>
      </c>
      <c r="E97" s="560" t="str">
        <f>IF(COUNT(D97)=1,D97-D97*0.25,"-")</f>
        <v>-</v>
      </c>
      <c r="F97" s="560" t="str">
        <f>IF(COUNT(D97)=1,D97+D97*0.25,"-")</f>
        <v>-</v>
      </c>
      <c r="G97" s="82"/>
      <c r="H97" s="850"/>
      <c r="I97" s="231"/>
    </row>
    <row r="98" spans="1:15" ht="15" customHeight="1" x14ac:dyDescent="0.25">
      <c r="A98" s="150">
        <f>MAXA(A$34:A97)+1</f>
        <v>39</v>
      </c>
      <c r="B98" s="145"/>
      <c r="C98" s="24" t="s">
        <v>82</v>
      </c>
      <c r="D98" s="559" t="str">
        <f>IF(COUNT(J80,K80)=2,100*(-1+K80/J80),"-")</f>
        <v>-</v>
      </c>
      <c r="E98" s="560" t="str">
        <f>IF(COUNT(D98)=1,D98-D98*0.25,"-")</f>
        <v>-</v>
      </c>
      <c r="F98" s="560" t="str">
        <f>IF(COUNT(D98)=1,D98+D98*0.25,"-")</f>
        <v>-</v>
      </c>
      <c r="G98" s="82"/>
      <c r="H98" s="850"/>
      <c r="I98" s="231"/>
    </row>
    <row r="99" spans="1:15" ht="15" hidden="1" customHeight="1" x14ac:dyDescent="0.25">
      <c r="A99" s="151"/>
      <c r="C99" s="152" t="s">
        <v>89</v>
      </c>
      <c r="D99" s="561">
        <f>D96</f>
        <v>7.1052631578947478</v>
      </c>
      <c r="E99" s="561">
        <f>IF(COUNT(E96,F96)=2,MIN(E96:F96),"")</f>
        <v>5.3289473684210611</v>
      </c>
      <c r="F99" s="561">
        <f>IF(COUNT(E96,F96)=2,MAXA(E96:F96),"")</f>
        <v>8.8815789473684355</v>
      </c>
      <c r="G99" s="83"/>
      <c r="H99" s="32"/>
      <c r="I99" s="231"/>
    </row>
    <row r="100" spans="1:15" ht="15" hidden="1" customHeight="1" x14ac:dyDescent="0.25">
      <c r="A100" s="151"/>
      <c r="C100" s="152" t="s">
        <v>90</v>
      </c>
      <c r="D100" s="561" t="str">
        <f>IF(COUNT(D97)=1,D97,"")</f>
        <v/>
      </c>
      <c r="E100" s="561" t="str">
        <f>IF(COUNT(E97,F97)=2,MIN(E97:F97),"")</f>
        <v/>
      </c>
      <c r="F100" s="561" t="str">
        <f>IF(COUNT(E97,F97)=2,MAXA(E97:F97),"")</f>
        <v/>
      </c>
      <c r="G100" s="83"/>
      <c r="H100" s="32"/>
      <c r="I100" s="231"/>
    </row>
    <row r="101" spans="1:15" ht="15" hidden="1" customHeight="1" x14ac:dyDescent="0.25">
      <c r="A101" s="151"/>
      <c r="C101" s="152" t="s">
        <v>91</v>
      </c>
      <c r="D101" s="561" t="str">
        <f>IF(COUNT(D98)=1,D98,"")</f>
        <v/>
      </c>
      <c r="E101" s="561" t="str">
        <f>IF(COUNT(E98,F98)=2,MIN(E98:F98),"")</f>
        <v/>
      </c>
      <c r="F101" s="561" t="str">
        <f>IF(COUNT(E98,F98)=2,MAXA(E98:F98),"")</f>
        <v/>
      </c>
      <c r="G101" s="83"/>
      <c r="H101" s="32"/>
      <c r="I101" s="231"/>
    </row>
    <row r="102" spans="1:15" ht="6" customHeight="1" x14ac:dyDescent="0.25">
      <c r="A102" s="153"/>
      <c r="B102" s="18"/>
      <c r="D102" s="562"/>
      <c r="E102" s="562"/>
      <c r="F102" s="562"/>
      <c r="G102" s="82"/>
      <c r="H102" s="178"/>
      <c r="I102" s="231"/>
      <c r="J102" s="37"/>
      <c r="K102" s="37"/>
    </row>
    <row r="103" spans="1:15" ht="15" customHeight="1" x14ac:dyDescent="0.25">
      <c r="A103" s="153"/>
      <c r="B103" s="145" t="s">
        <v>125</v>
      </c>
      <c r="D103" s="563" t="s">
        <v>54</v>
      </c>
      <c r="E103" s="563" t="s">
        <v>92</v>
      </c>
      <c r="F103" s="563" t="s">
        <v>93</v>
      </c>
      <c r="G103" s="82"/>
      <c r="H103" s="178"/>
      <c r="I103" s="231"/>
      <c r="J103" s="37"/>
      <c r="K103" s="37"/>
    </row>
    <row r="104" spans="1:15" ht="15" customHeight="1" x14ac:dyDescent="0.25">
      <c r="A104" s="149">
        <f>MAXA(A$34:A102)+1</f>
        <v>40</v>
      </c>
      <c r="C104" s="24" t="s">
        <v>102</v>
      </c>
      <c r="D104" s="514">
        <f>IF(D15="Ja",((D46/1000)*D47*365*(D53/100)*D57*D58*(-D65/100)*K37)/1000000,0)</f>
        <v>0.16954328738662683</v>
      </c>
      <c r="E104" s="515">
        <f>IF(D15="Ja",IF(COUNT(E65:F65)=2,((D46/1000)*D47*365*(D53/100)*D57*D58*(-E65/100)*K37)/1000000,D104),0)</f>
        <v>-6.5933500650354873E-2</v>
      </c>
      <c r="F104" s="515">
        <f>IF(D15="Ja",IF(COUNT(E65:F65)=2,((D46/1000)*D47*365*(D53/100)*D57*D58*(-F65/100)*K37)/1000000,D104),0)</f>
        <v>0.34850564629473291</v>
      </c>
      <c r="G104" s="305" t="str">
        <f>CONCATENATE(A104,"-",A107)</f>
        <v>40-43</v>
      </c>
      <c r="H104" s="813" t="s">
        <v>864</v>
      </c>
      <c r="I104" s="231"/>
      <c r="J104" s="39"/>
      <c r="K104" s="40"/>
      <c r="L104" s="39"/>
      <c r="M104" s="40"/>
      <c r="N104" s="39"/>
      <c r="O104" s="40"/>
    </row>
    <row r="105" spans="1:15" ht="15" customHeight="1" x14ac:dyDescent="0.25">
      <c r="A105" s="149">
        <f>MAXA(A$34:A104)+1</f>
        <v>41</v>
      </c>
      <c r="C105" s="24" t="s">
        <v>103</v>
      </c>
      <c r="D105" s="514">
        <f>IF(D15="Ja",((D46/1000)*D47*365*(D54/100)*D57*D59*(-D66/100)*K37)/1000000,0)</f>
        <v>0</v>
      </c>
      <c r="E105" s="515">
        <f>IF(D15="Ja",IF(COUNT(E66:F66)=2,((D46/1000)*D47*365*(D54/100)*D57*D59*(-E66/100)*K37)/1000000,D105),0)</f>
        <v>0</v>
      </c>
      <c r="F105" s="515">
        <f>IF(D15="Ja",IF(COUNT(E66:F66)=2,((D46/1000)*D47*365*(D54/100)*D57*D59*(-F66/100)*K37)/1000000,D105),0)</f>
        <v>0</v>
      </c>
      <c r="G105" s="223"/>
      <c r="H105" s="813"/>
      <c r="I105" s="231"/>
      <c r="J105" s="39"/>
      <c r="K105" s="40"/>
      <c r="L105" s="39"/>
      <c r="M105" s="40"/>
      <c r="N105" s="39"/>
      <c r="O105" s="40"/>
    </row>
    <row r="106" spans="1:15" ht="15" customHeight="1" x14ac:dyDescent="0.25">
      <c r="A106" s="149">
        <f>MAXA(A$34:A105)+1</f>
        <v>42</v>
      </c>
      <c r="C106" s="24" t="s">
        <v>104</v>
      </c>
      <c r="D106" s="514">
        <f>IF(D15="Ja",((D46/1000)*D47*365*(D55/100)*D57*D60*(-D67/100)*K37)/1000000,0)</f>
        <v>0</v>
      </c>
      <c r="E106" s="515">
        <f>IF(D15="Ja",IF(COUNT(E67:F67)=2,((D46/1000)*D47*365*(D55/100)*D57*D60*(-E67/100)*K37)/1000000,D105),0)</f>
        <v>0</v>
      </c>
      <c r="F106" s="515">
        <f>IF(D15="Ja",IF(COUNT(E67:F67)=2,((D46/1000)*D47*365*(D55/100)*D57*D60*(-F67/100)*K37)/1000000,D105),0)</f>
        <v>0</v>
      </c>
      <c r="G106" s="223"/>
      <c r="H106" s="813"/>
      <c r="I106" s="231"/>
      <c r="J106" s="39"/>
      <c r="K106" s="40"/>
      <c r="L106" s="39"/>
      <c r="M106" s="40"/>
      <c r="N106" s="39"/>
      <c r="O106" s="40"/>
    </row>
    <row r="107" spans="1:15" ht="15" customHeight="1" x14ac:dyDescent="0.25">
      <c r="A107" s="149">
        <f>MAXA(A$34:A106)+1</f>
        <v>43</v>
      </c>
      <c r="C107" s="24" t="s">
        <v>105</v>
      </c>
      <c r="D107" s="514">
        <f>SUM(D104:D106)</f>
        <v>0.16954328738662683</v>
      </c>
      <c r="E107" s="515">
        <f>SUM(E104:E106)</f>
        <v>-6.5933500650354873E-2</v>
      </c>
      <c r="F107" s="515">
        <f>SUM(F104:F106)</f>
        <v>0.34850564629473291</v>
      </c>
      <c r="G107" s="223"/>
      <c r="H107" s="813"/>
      <c r="I107" s="231"/>
      <c r="J107" s="39"/>
      <c r="K107" s="40"/>
      <c r="L107" s="39"/>
      <c r="M107" s="40"/>
      <c r="N107" s="39"/>
      <c r="O107" s="40"/>
    </row>
    <row r="108" spans="1:15" ht="15" customHeight="1" x14ac:dyDescent="0.25">
      <c r="A108" s="153"/>
      <c r="B108" s="145" t="s">
        <v>325</v>
      </c>
      <c r="D108" s="564" t="s">
        <v>260</v>
      </c>
      <c r="E108" s="564" t="s">
        <v>262</v>
      </c>
      <c r="F108" s="564" t="s">
        <v>263</v>
      </c>
      <c r="G108" s="223"/>
      <c r="H108" s="404"/>
      <c r="I108" s="231"/>
    </row>
    <row r="109" spans="1:15" ht="15" customHeight="1" x14ac:dyDescent="0.25">
      <c r="A109" s="149">
        <f>MAXA(A$34:A107)+1</f>
        <v>44</v>
      </c>
      <c r="B109" s="145"/>
      <c r="C109" s="24" t="s">
        <v>463</v>
      </c>
      <c r="D109" s="565">
        <f>IF(AND($E15="Ja",$D53&gt;0),'Miljøberegning tilfartskontroll'!O87,0)</f>
        <v>-2.5142213255050616</v>
      </c>
      <c r="E109" s="565">
        <f>IF(AND($E15="Ja",$D53&gt;0),'Miljøberegning tilfartskontroll'!Q87,0)</f>
        <v>-2.9213350075648292</v>
      </c>
      <c r="F109" s="565">
        <f>IF(AND($E15="Ja",$D53&gt;0),'Miljøberegning tilfartskontroll'!R87,0)</f>
        <v>-2.5053730138214769</v>
      </c>
      <c r="G109" s="305" t="str">
        <f>CONCATENATE(A109,"-",A111)</f>
        <v>44-45</v>
      </c>
      <c r="H109" s="813" t="s">
        <v>462</v>
      </c>
      <c r="I109" s="231"/>
    </row>
    <row r="110" spans="1:15" ht="15" customHeight="1" x14ac:dyDescent="0.25">
      <c r="A110" s="149">
        <f>MAXA(A$34:A108)+1</f>
        <v>44</v>
      </c>
      <c r="B110" s="145"/>
      <c r="C110" s="24" t="s">
        <v>464</v>
      </c>
      <c r="D110" s="565">
        <f>IF(AND($E16="Ja",$D54&gt;0),'Miljøberegning tilfartskontroll'!O88,0)</f>
        <v>0</v>
      </c>
      <c r="E110" s="565">
        <f>IF(AND($E16="Ja",$D54&gt;0),'Miljøberegning tilfartskontroll'!Q88,0)</f>
        <v>0</v>
      </c>
      <c r="F110" s="565">
        <f>IF(AND($E16="Ja",$D54&gt;0),'Miljøberegning tilfartskontroll'!R88,0)</f>
        <v>0</v>
      </c>
      <c r="G110" s="223"/>
      <c r="H110" s="813"/>
      <c r="I110" s="231"/>
    </row>
    <row r="111" spans="1:15" ht="15" customHeight="1" x14ac:dyDescent="0.25">
      <c r="A111" s="149">
        <f>MAXA(A$34:A109)+1</f>
        <v>45</v>
      </c>
      <c r="B111" s="145"/>
      <c r="C111" s="24" t="s">
        <v>465</v>
      </c>
      <c r="D111" s="565">
        <f>IF(AND($E17="Ja",$D55&gt;0),'Miljøberegning tilfartskontroll'!O89,0)</f>
        <v>0</v>
      </c>
      <c r="E111" s="565">
        <f>IF(AND($E17="Ja",$D55&gt;0),'Miljøberegning tilfartskontroll'!Q89,0)</f>
        <v>0</v>
      </c>
      <c r="F111" s="565">
        <f>IF(AND($E17="Ja",$D55&gt;0),'Miljøberegning tilfartskontroll'!R89,0)</f>
        <v>0</v>
      </c>
      <c r="G111" s="223"/>
      <c r="H111" s="813"/>
      <c r="I111" s="231"/>
    </row>
    <row r="112" spans="1:15" ht="3.95" customHeight="1" x14ac:dyDescent="0.25">
      <c r="A112" s="153"/>
      <c r="B112" s="145"/>
      <c r="D112" s="536"/>
      <c r="E112" s="536"/>
      <c r="F112" s="536"/>
      <c r="G112" s="223"/>
      <c r="I112" s="231"/>
    </row>
    <row r="113" spans="1:13" ht="15" customHeight="1" x14ac:dyDescent="0.25">
      <c r="A113" s="149">
        <f>MAXA(A$34:A111)+1</f>
        <v>46</v>
      </c>
      <c r="B113" s="145"/>
      <c r="C113" s="24" t="s">
        <v>290</v>
      </c>
      <c r="D113" s="514">
        <f>IF(E15="Ja",D117*$K$37/1000000,0)</f>
        <v>0.14119358368161447</v>
      </c>
      <c r="E113" s="531"/>
      <c r="F113" s="531"/>
      <c r="G113" s="305" t="str">
        <f>CONCATENATE(A113,"-",A116)</f>
        <v>46-49</v>
      </c>
      <c r="H113" s="813" t="s">
        <v>870</v>
      </c>
      <c r="I113" s="231"/>
    </row>
    <row r="114" spans="1:13" s="19" customFormat="1" ht="15" customHeight="1" x14ac:dyDescent="0.25">
      <c r="A114" s="150">
        <f>MAXA(A$34:A113)+1</f>
        <v>47</v>
      </c>
      <c r="B114" s="145"/>
      <c r="C114" s="24" t="s">
        <v>291</v>
      </c>
      <c r="D114" s="514">
        <f>IF(E16="Ja",D118*$K$37/1000000,0)</f>
        <v>0</v>
      </c>
      <c r="E114" s="531"/>
      <c r="F114" s="531"/>
      <c r="G114" s="223"/>
      <c r="H114" s="813"/>
      <c r="I114" s="231"/>
      <c r="J114" s="23"/>
      <c r="K114" s="23"/>
    </row>
    <row r="115" spans="1:13" s="19" customFormat="1" ht="15" customHeight="1" x14ac:dyDescent="0.25">
      <c r="A115" s="150">
        <f>MAXA(A$34:A114)+1</f>
        <v>48</v>
      </c>
      <c r="B115" s="145"/>
      <c r="C115" s="24" t="s">
        <v>292</v>
      </c>
      <c r="D115" s="514">
        <f>IF(E17="Ja",D119*$K$37/1000000,0)</f>
        <v>0</v>
      </c>
      <c r="E115" s="531"/>
      <c r="F115" s="531"/>
      <c r="G115" s="223"/>
      <c r="H115" s="813"/>
      <c r="I115" s="231"/>
      <c r="J115" s="48">
        <f>(J121/60)*J72</f>
        <v>0.49999999999999994</v>
      </c>
      <c r="K115" s="23"/>
    </row>
    <row r="116" spans="1:13" s="19" customFormat="1" ht="15" customHeight="1" x14ac:dyDescent="0.25">
      <c r="A116" s="150">
        <f>MAXA(A$34:A115)+1</f>
        <v>49</v>
      </c>
      <c r="B116" s="145"/>
      <c r="C116" s="24" t="s">
        <v>293</v>
      </c>
      <c r="D116" s="514">
        <f>SUM(D113:D115)</f>
        <v>0.14119358368161447</v>
      </c>
      <c r="E116" s="531"/>
      <c r="F116" s="531"/>
      <c r="G116" s="223"/>
      <c r="H116" s="813"/>
      <c r="I116" s="231"/>
      <c r="J116" s="39"/>
      <c r="K116" s="40"/>
    </row>
    <row r="117" spans="1:13" s="19" customFormat="1" ht="15.75" hidden="1" x14ac:dyDescent="0.25">
      <c r="A117" s="153"/>
      <c r="B117" s="145"/>
      <c r="C117" s="152" t="s">
        <v>56</v>
      </c>
      <c r="D117" s="566">
        <f>-'Miljøberegning tilfartskontroll'!S81</f>
        <v>14884.229815364826</v>
      </c>
      <c r="E117" s="566"/>
      <c r="F117" s="566"/>
      <c r="G117" s="224"/>
      <c r="H117" s="19" t="s">
        <v>301</v>
      </c>
      <c r="J117" s="23"/>
      <c r="K117" s="23"/>
    </row>
    <row r="118" spans="1:13" s="19" customFormat="1" ht="15.75" hidden="1" x14ac:dyDescent="0.25">
      <c r="A118" s="153"/>
      <c r="B118" s="145"/>
      <c r="C118" s="152" t="s">
        <v>56</v>
      </c>
      <c r="D118" s="566">
        <f>-'Miljøberegning tilfartskontroll'!S82</f>
        <v>0</v>
      </c>
      <c r="E118" s="566"/>
      <c r="F118" s="566"/>
      <c r="G118" s="224"/>
      <c r="H118" s="19" t="s">
        <v>301</v>
      </c>
      <c r="J118" s="23"/>
      <c r="K118" s="23"/>
    </row>
    <row r="119" spans="1:13" s="19" customFormat="1" ht="15.75" hidden="1" x14ac:dyDescent="0.25">
      <c r="A119" s="153"/>
      <c r="B119" s="145"/>
      <c r="C119" s="152" t="s">
        <v>56</v>
      </c>
      <c r="D119" s="566">
        <f>-'Miljøberegning tilfartskontroll'!S83</f>
        <v>0</v>
      </c>
      <c r="E119" s="566"/>
      <c r="F119" s="566"/>
      <c r="G119" s="224"/>
      <c r="H119" s="19" t="s">
        <v>301</v>
      </c>
      <c r="J119" s="23"/>
      <c r="K119" s="23"/>
    </row>
    <row r="120" spans="1:13" s="19" customFormat="1" ht="15.75" x14ac:dyDescent="0.25">
      <c r="A120" s="153"/>
      <c r="B120" s="145" t="s">
        <v>130</v>
      </c>
      <c r="C120" s="18"/>
      <c r="D120" s="563" t="s">
        <v>54</v>
      </c>
      <c r="E120" s="563" t="s">
        <v>92</v>
      </c>
      <c r="F120" s="563" t="s">
        <v>93</v>
      </c>
      <c r="G120" s="223"/>
      <c r="H120" s="28"/>
      <c r="I120" s="231"/>
      <c r="J120" s="23" t="s">
        <v>45</v>
      </c>
      <c r="K120" s="23" t="s">
        <v>300</v>
      </c>
      <c r="L120" s="23" t="s">
        <v>87</v>
      </c>
      <c r="M120" s="23" t="s">
        <v>86</v>
      </c>
    </row>
    <row r="121" spans="1:13" s="19" customFormat="1" x14ac:dyDescent="0.25">
      <c r="A121" s="149">
        <f>MAXA(A$34:A120)+1</f>
        <v>50</v>
      </c>
      <c r="B121" s="147"/>
      <c r="C121" s="24" t="s">
        <v>83</v>
      </c>
      <c r="D121" s="522">
        <f>IF(F15="ja",K121-$J121,0)</f>
        <v>-6.5466183887236573E-2</v>
      </c>
      <c r="E121" s="523">
        <f>IF(F15="ja",IF(COUNT(E99,F99)=2,L121-$J121,""),0)</f>
        <v>-4.9927676780959107E-2</v>
      </c>
      <c r="F121" s="523">
        <f>IF(F15="ja",IF(COUNT(E99,F99)=2,M121-$J121,""),0)</f>
        <v>-8.0497694387024921E-2</v>
      </c>
      <c r="G121" s="305" t="str">
        <f>CONCATENATE(A121,"-",A123)</f>
        <v>50-52</v>
      </c>
      <c r="H121" s="813" t="s">
        <v>138</v>
      </c>
      <c r="I121" s="231"/>
      <c r="J121" s="41">
        <f>(D$46/(J72*1000))*60</f>
        <v>0.98684210526315785</v>
      </c>
      <c r="K121" s="41">
        <f>(D46/(J72*((100+D99)/100)*1000))*60</f>
        <v>0.92137592137592128</v>
      </c>
      <c r="L121" s="41">
        <f>(D46/(J72*((100+E99)/100)*1000))*60</f>
        <v>0.93691442848219875</v>
      </c>
      <c r="M121" s="41">
        <f>(D46/(J72*((100+F99)/100)*1000))*60</f>
        <v>0.90634441087613293</v>
      </c>
    </row>
    <row r="122" spans="1:13" s="19" customFormat="1" x14ac:dyDescent="0.25">
      <c r="A122" s="149">
        <f>MAXA(A$34:A121)+1</f>
        <v>51</v>
      </c>
      <c r="B122" s="147"/>
      <c r="C122" s="24" t="s">
        <v>84</v>
      </c>
      <c r="D122" s="522">
        <f>IF(F16="ja",K122-J122,0)</f>
        <v>0</v>
      </c>
      <c r="E122" s="523">
        <f>IF(F16="ja",IF(COUNT(E100,F100)=2,L122-$J122,""),0)</f>
        <v>0</v>
      </c>
      <c r="F122" s="523">
        <f>IF(F16="ja",IF(COUNT(E100,F100)=2,M122-$J122,""),0)</f>
        <v>0</v>
      </c>
      <c r="G122" s="223"/>
      <c r="H122" s="813"/>
      <c r="I122" s="231"/>
      <c r="J122" s="41" t="e">
        <f>(D$46/(J76*1000))*60</f>
        <v>#VALUE!</v>
      </c>
      <c r="K122" s="41" t="e">
        <f>(D46/(J76*((100+D100)/100)*1000))*60</f>
        <v>#VALUE!</v>
      </c>
      <c r="L122" s="41" t="e">
        <f>(D46/(J76*((100+E100)/100)*1000))*60</f>
        <v>#VALUE!</v>
      </c>
      <c r="M122" s="41" t="e">
        <f>(D46/(J76*((100+F100)/100)*1000))*60</f>
        <v>#VALUE!</v>
      </c>
    </row>
    <row r="123" spans="1:13" s="19" customFormat="1" x14ac:dyDescent="0.25">
      <c r="A123" s="149">
        <f>MAXA(A$34:A122)+1</f>
        <v>52</v>
      </c>
      <c r="B123" s="147"/>
      <c r="C123" s="24" t="s">
        <v>85</v>
      </c>
      <c r="D123" s="522">
        <f>IF(F17="ja",K123-J123,0)</f>
        <v>0</v>
      </c>
      <c r="E123" s="523">
        <f>IF(F17="ja",IF(COUNT(E101,F101)=2,L123-$J123,""),0)</f>
        <v>0</v>
      </c>
      <c r="F123" s="523">
        <f>IF(F17="ja",IF(COUNT(E101,F101)=2,M123-$J123,""),0)</f>
        <v>0</v>
      </c>
      <c r="G123" s="223"/>
      <c r="H123" s="813"/>
      <c r="I123" s="231"/>
      <c r="J123" s="41" t="e">
        <f>(D$46/(J80*1000))*60</f>
        <v>#VALUE!</v>
      </c>
      <c r="K123" s="41" t="e">
        <f>(D46/(J80*((100+D101)/100)*1000))*60</f>
        <v>#VALUE!</v>
      </c>
      <c r="L123" s="41" t="e">
        <f>(D46/(J80*((100+E101)/100)*1000))*60</f>
        <v>#VALUE!</v>
      </c>
      <c r="M123" s="41" t="e">
        <f>(D46/(J80*((100+F101)/100)*1000))*60</f>
        <v>#VALUE!</v>
      </c>
    </row>
    <row r="124" spans="1:13" s="19" customFormat="1" hidden="1" x14ac:dyDescent="0.25">
      <c r="A124" s="153"/>
      <c r="B124" s="147"/>
      <c r="C124" s="152" t="s">
        <v>56</v>
      </c>
      <c r="D124" s="567">
        <f>(D121/60)*'Data-beregninger'!$C$57</f>
        <v>-0.24277089214163614</v>
      </c>
      <c r="E124" s="567">
        <f>(E121/60)*'Data-beregninger'!$C$57</f>
        <v>-0.18514881905367678</v>
      </c>
      <c r="F124" s="567">
        <f>(F121/60)*'Data-beregninger'!$C$57</f>
        <v>-0.29851284924968513</v>
      </c>
      <c r="G124" s="224"/>
      <c r="H124" s="88" t="s">
        <v>946</v>
      </c>
      <c r="J124" s="19" t="s">
        <v>88</v>
      </c>
    </row>
    <row r="125" spans="1:13" s="19" customFormat="1" hidden="1" x14ac:dyDescent="0.25">
      <c r="A125" s="153"/>
      <c r="B125" s="147"/>
      <c r="C125" s="152" t="s">
        <v>56</v>
      </c>
      <c r="D125" s="567">
        <f>(D122/60)*'Data-beregninger'!$C$57</f>
        <v>0</v>
      </c>
      <c r="E125" s="567">
        <f>(E122/60)*'Data-beregninger'!$C$57</f>
        <v>0</v>
      </c>
      <c r="F125" s="567">
        <f>(F122/60)*'Data-beregninger'!$C$57</f>
        <v>0</v>
      </c>
      <c r="G125" s="224"/>
      <c r="H125" s="88" t="s">
        <v>946</v>
      </c>
      <c r="J125" s="19" t="s">
        <v>88</v>
      </c>
    </row>
    <row r="126" spans="1:13" s="19" customFormat="1" hidden="1" x14ac:dyDescent="0.25">
      <c r="A126" s="153"/>
      <c r="B126" s="147"/>
      <c r="C126" s="152" t="s">
        <v>56</v>
      </c>
      <c r="D126" s="567">
        <f>(D123/60)*'Data-beregninger'!$C$57</f>
        <v>0</v>
      </c>
      <c r="E126" s="567">
        <f>(E123/60)*'Data-beregninger'!$C$57</f>
        <v>0</v>
      </c>
      <c r="F126" s="567">
        <f>(F123/60)*'Data-beregninger'!$C$57</f>
        <v>0</v>
      </c>
      <c r="G126" s="224"/>
      <c r="H126" s="88" t="s">
        <v>946</v>
      </c>
      <c r="J126" s="19" t="s">
        <v>88</v>
      </c>
    </row>
    <row r="127" spans="1:13" s="19" customFormat="1" hidden="1" x14ac:dyDescent="0.25">
      <c r="A127" s="153"/>
      <c r="B127" s="147"/>
      <c r="C127" s="152" t="s">
        <v>56</v>
      </c>
      <c r="D127" s="567">
        <f>(D121/60)*'Data-beregninger'!$C$58</f>
        <v>-0.80573811544170537</v>
      </c>
      <c r="E127" s="567">
        <f>(E121/60)*'Data-beregninger'!$C$58</f>
        <v>-0.61449484007140431</v>
      </c>
      <c r="F127" s="567">
        <f>(F121/60)*'Data-beregninger'!$C$58</f>
        <v>-0.99074142895702022</v>
      </c>
      <c r="G127" s="224"/>
      <c r="H127" s="88" t="s">
        <v>947</v>
      </c>
      <c r="J127" s="19" t="s">
        <v>88</v>
      </c>
    </row>
    <row r="128" spans="1:13" s="19" customFormat="1" hidden="1" x14ac:dyDescent="0.25">
      <c r="A128" s="153"/>
      <c r="B128" s="147"/>
      <c r="C128" s="152" t="s">
        <v>56</v>
      </c>
      <c r="D128" s="567">
        <f>(D122/60)*'Data-beregninger'!$C$58</f>
        <v>0</v>
      </c>
      <c r="E128" s="567">
        <f>(E122/60)*'Data-beregninger'!$C$58</f>
        <v>0</v>
      </c>
      <c r="F128" s="567">
        <f>(F122/60)*'Data-beregninger'!$C$58</f>
        <v>0</v>
      </c>
      <c r="G128" s="224"/>
      <c r="H128" s="88" t="s">
        <v>947</v>
      </c>
      <c r="J128" s="19" t="s">
        <v>88</v>
      </c>
    </row>
    <row r="129" spans="1:15" s="19" customFormat="1" hidden="1" x14ac:dyDescent="0.25">
      <c r="A129" s="153"/>
      <c r="B129" s="147"/>
      <c r="C129" s="152" t="s">
        <v>56</v>
      </c>
      <c r="D129" s="567">
        <f>(D123/60)*'Data-beregninger'!$C$58</f>
        <v>0</v>
      </c>
      <c r="E129" s="567">
        <f>(E123/60)*'Data-beregninger'!$C$58</f>
        <v>0</v>
      </c>
      <c r="F129" s="567">
        <f>(F123/60)*'Data-beregninger'!$C$58</f>
        <v>0</v>
      </c>
      <c r="G129" s="224"/>
      <c r="H129" s="88" t="s">
        <v>947</v>
      </c>
      <c r="J129" s="19" t="s">
        <v>88</v>
      </c>
    </row>
    <row r="130" spans="1:15" hidden="1" x14ac:dyDescent="0.25">
      <c r="A130" s="153"/>
      <c r="C130" s="152" t="s">
        <v>56</v>
      </c>
      <c r="D130" s="567">
        <f>(D121/60)*'Data-beregninger'!$C$59</f>
        <v>-0.72720774537695643</v>
      </c>
      <c r="E130" s="567">
        <f>(E121/60)*'Data-beregninger'!$C$59</f>
        <v>-0.55460378332620874</v>
      </c>
      <c r="F130" s="567">
        <f>(F121/60)*'Data-beregninger'!$C$59</f>
        <v>-0.894179916520909</v>
      </c>
      <c r="G130" s="224"/>
      <c r="H130" s="88" t="s">
        <v>948</v>
      </c>
      <c r="J130" s="19" t="s">
        <v>88</v>
      </c>
      <c r="K130" s="19"/>
    </row>
    <row r="131" spans="1:15" hidden="1" x14ac:dyDescent="0.25">
      <c r="A131" s="153"/>
      <c r="C131" s="152" t="s">
        <v>56</v>
      </c>
      <c r="D131" s="567">
        <f>(D122/60)*'Data-beregninger'!$C$59</f>
        <v>0</v>
      </c>
      <c r="E131" s="567">
        <f>(E122/60)*'Data-beregninger'!$C$59</f>
        <v>0</v>
      </c>
      <c r="F131" s="567">
        <f>(F122/60)*'Data-beregninger'!$C$59</f>
        <v>0</v>
      </c>
      <c r="G131" s="224"/>
      <c r="H131" s="88" t="s">
        <v>948</v>
      </c>
      <c r="J131" s="19" t="s">
        <v>88</v>
      </c>
      <c r="K131" s="19"/>
    </row>
    <row r="132" spans="1:15" hidden="1" x14ac:dyDescent="0.25">
      <c r="A132" s="153"/>
      <c r="C132" s="152" t="s">
        <v>56</v>
      </c>
      <c r="D132" s="567">
        <f>(D123/60)*'Data-beregninger'!$C$59</f>
        <v>0</v>
      </c>
      <c r="E132" s="567">
        <f>(E123/60)*'Data-beregninger'!$C$59</f>
        <v>0</v>
      </c>
      <c r="F132" s="567">
        <f>(F123/60)*'Data-beregninger'!$C$59</f>
        <v>0</v>
      </c>
      <c r="G132" s="224"/>
      <c r="H132" s="88" t="s">
        <v>948</v>
      </c>
      <c r="J132" s="19" t="s">
        <v>88</v>
      </c>
      <c r="K132" s="19"/>
    </row>
    <row r="133" spans="1:15" hidden="1" x14ac:dyDescent="0.25">
      <c r="A133" s="153"/>
      <c r="C133" s="152" t="s">
        <v>56</v>
      </c>
      <c r="D133" s="568">
        <f t="shared" ref="D133:F135" si="4">D124*$D$47*365*((100-$D$49-$D$50)/100)*($D53/100)</f>
        <v>-779780.10555893544</v>
      </c>
      <c r="E133" s="568">
        <f t="shared" si="4"/>
        <v>-594698.00680040976</v>
      </c>
      <c r="F133" s="568">
        <f t="shared" si="4"/>
        <v>-958823.27178998874</v>
      </c>
      <c r="G133" s="224"/>
      <c r="H133" s="88" t="s">
        <v>294</v>
      </c>
      <c r="J133" s="19" t="s">
        <v>88</v>
      </c>
      <c r="K133" s="19"/>
    </row>
    <row r="134" spans="1:15" hidden="1" x14ac:dyDescent="0.25">
      <c r="A134" s="153"/>
      <c r="C134" s="152" t="s">
        <v>56</v>
      </c>
      <c r="D134" s="568">
        <f t="shared" si="4"/>
        <v>0</v>
      </c>
      <c r="E134" s="568">
        <f t="shared" si="4"/>
        <v>0</v>
      </c>
      <c r="F134" s="568">
        <f t="shared" si="4"/>
        <v>0</v>
      </c>
      <c r="G134" s="224"/>
      <c r="H134" s="88" t="s">
        <v>294</v>
      </c>
      <c r="J134" s="19" t="s">
        <v>88</v>
      </c>
      <c r="K134" s="19"/>
    </row>
    <row r="135" spans="1:15" hidden="1" x14ac:dyDescent="0.25">
      <c r="A135" s="153"/>
      <c r="C135" s="152" t="s">
        <v>56</v>
      </c>
      <c r="D135" s="568">
        <f t="shared" si="4"/>
        <v>0</v>
      </c>
      <c r="E135" s="568">
        <f t="shared" si="4"/>
        <v>0</v>
      </c>
      <c r="F135" s="568">
        <f t="shared" si="4"/>
        <v>0</v>
      </c>
      <c r="G135" s="224"/>
      <c r="H135" s="88" t="s">
        <v>294</v>
      </c>
      <c r="J135" s="19" t="s">
        <v>88</v>
      </c>
      <c r="K135" s="19"/>
    </row>
    <row r="136" spans="1:15" hidden="1" x14ac:dyDescent="0.25">
      <c r="A136" s="153"/>
      <c r="C136" s="152" t="s">
        <v>56</v>
      </c>
      <c r="D136" s="568">
        <f t="shared" ref="D136:F138" si="5">D124*$D$47*365*($D$50/100)*($D53/100)</f>
        <v>-17722.275126339442</v>
      </c>
      <c r="E136" s="568">
        <f t="shared" si="5"/>
        <v>-13515.863790918404</v>
      </c>
      <c r="F136" s="568">
        <f t="shared" si="5"/>
        <v>-21791.437995227017</v>
      </c>
      <c r="G136" s="224"/>
      <c r="H136" s="88" t="s">
        <v>295</v>
      </c>
      <c r="J136" s="19" t="s">
        <v>88</v>
      </c>
      <c r="K136" s="19"/>
    </row>
    <row r="137" spans="1:15" hidden="1" x14ac:dyDescent="0.25">
      <c r="A137" s="153"/>
      <c r="C137" s="152" t="s">
        <v>56</v>
      </c>
      <c r="D137" s="568">
        <f t="shared" si="5"/>
        <v>0</v>
      </c>
      <c r="E137" s="568">
        <f t="shared" si="5"/>
        <v>0</v>
      </c>
      <c r="F137" s="568">
        <f t="shared" si="5"/>
        <v>0</v>
      </c>
      <c r="G137" s="224"/>
      <c r="H137" s="88" t="s">
        <v>295</v>
      </c>
      <c r="J137" s="19" t="s">
        <v>88</v>
      </c>
      <c r="K137" s="19"/>
    </row>
    <row r="138" spans="1:15" hidden="1" x14ac:dyDescent="0.25">
      <c r="A138" s="153"/>
      <c r="C138" s="152" t="s">
        <v>56</v>
      </c>
      <c r="D138" s="568">
        <f t="shared" si="5"/>
        <v>0</v>
      </c>
      <c r="E138" s="568">
        <f t="shared" si="5"/>
        <v>0</v>
      </c>
      <c r="F138" s="568">
        <f t="shared" si="5"/>
        <v>0</v>
      </c>
      <c r="G138" s="224"/>
      <c r="H138" s="88" t="s">
        <v>295</v>
      </c>
      <c r="J138" s="19" t="s">
        <v>88</v>
      </c>
      <c r="K138" s="19"/>
    </row>
    <row r="139" spans="1:15" hidden="1" x14ac:dyDescent="0.25">
      <c r="A139" s="153"/>
      <c r="C139" s="152" t="s">
        <v>56</v>
      </c>
      <c r="D139" s="568">
        <f t="shared" ref="D139:F141" si="6">D124*$D$47*365*($D$49/100)*($D53/100)</f>
        <v>-88611.375631697199</v>
      </c>
      <c r="E139" s="568">
        <f t="shared" si="6"/>
        <v>-67579.318954592032</v>
      </c>
      <c r="F139" s="568">
        <f t="shared" si="6"/>
        <v>-108957.18997613509</v>
      </c>
      <c r="G139" s="224"/>
      <c r="H139" s="88" t="s">
        <v>296</v>
      </c>
      <c r="J139" s="19" t="s">
        <v>88</v>
      </c>
      <c r="K139" s="19"/>
    </row>
    <row r="140" spans="1:15" hidden="1" x14ac:dyDescent="0.25">
      <c r="A140" s="153"/>
      <c r="C140" s="152" t="s">
        <v>56</v>
      </c>
      <c r="D140" s="568">
        <f t="shared" si="6"/>
        <v>0</v>
      </c>
      <c r="E140" s="568">
        <f t="shared" si="6"/>
        <v>0</v>
      </c>
      <c r="F140" s="568">
        <f t="shared" si="6"/>
        <v>0</v>
      </c>
      <c r="G140" s="224"/>
      <c r="H140" s="88" t="s">
        <v>296</v>
      </c>
      <c r="J140" s="19" t="s">
        <v>88</v>
      </c>
      <c r="K140" s="19"/>
    </row>
    <row r="141" spans="1:15" hidden="1" x14ac:dyDescent="0.25">
      <c r="A141" s="153"/>
      <c r="C141" s="152" t="s">
        <v>56</v>
      </c>
      <c r="D141" s="568">
        <f t="shared" si="6"/>
        <v>0</v>
      </c>
      <c r="E141" s="568">
        <f t="shared" si="6"/>
        <v>0</v>
      </c>
      <c r="F141" s="568">
        <f t="shared" si="6"/>
        <v>0</v>
      </c>
      <c r="G141" s="224"/>
      <c r="H141" s="88" t="s">
        <v>296</v>
      </c>
      <c r="J141" s="19" t="s">
        <v>88</v>
      </c>
      <c r="K141" s="19"/>
    </row>
    <row r="142" spans="1:15" ht="7.5" customHeight="1" x14ac:dyDescent="0.25">
      <c r="A142" s="153"/>
      <c r="B142" s="18"/>
      <c r="D142" s="562"/>
      <c r="E142" s="562"/>
      <c r="F142" s="562"/>
      <c r="G142" s="223"/>
      <c r="H142" s="28"/>
      <c r="I142" s="231"/>
      <c r="J142" s="37"/>
      <c r="K142" s="37"/>
    </row>
    <row r="143" spans="1:15" ht="15" customHeight="1" x14ac:dyDescent="0.25">
      <c r="A143" s="149">
        <f>MAXA(A$34:A141)+1</f>
        <v>53</v>
      </c>
      <c r="C143" s="24" t="s">
        <v>98</v>
      </c>
      <c r="D143" s="514">
        <f>-SUM(D133,D136,D139)*$K$37/1000000</f>
        <v>8.4057810418122365</v>
      </c>
      <c r="E143" s="515">
        <f>IF(COUNT($E99,$F99)=2,(-SUM(E133,E136,E139)*$K$37)/1000000,$D143)</f>
        <v>6.4106549981590852</v>
      </c>
      <c r="F143" s="515">
        <f>IF(COUNT($E99,$F99)=2,-SUM(F133,F136,F139)*$K$37/1000000,$D143)</f>
        <v>10.335809317273643</v>
      </c>
      <c r="G143" s="305" t="str">
        <f>CONCATENATE(A143,"-",A146)</f>
        <v>53-56</v>
      </c>
      <c r="H143" s="813" t="s">
        <v>1011</v>
      </c>
      <c r="I143" s="231"/>
      <c r="J143" s="39"/>
      <c r="K143" s="40"/>
      <c r="L143" s="39"/>
      <c r="M143" s="40"/>
      <c r="N143" s="39"/>
      <c r="O143" s="40"/>
    </row>
    <row r="144" spans="1:15" s="24" customFormat="1" x14ac:dyDescent="0.25">
      <c r="A144" s="149">
        <f>MAXA(A$34:A143)+1</f>
        <v>54</v>
      </c>
      <c r="B144" s="147"/>
      <c r="C144" s="24" t="s">
        <v>99</v>
      </c>
      <c r="D144" s="514">
        <f>-SUM(D134,D137,D140)*$K$37/1000000</f>
        <v>0</v>
      </c>
      <c r="E144" s="515">
        <f>IF(COUNT($E100,$F100)=2,-SUM(E134,E137,E140)*$K$37/1000000,$D144)</f>
        <v>0</v>
      </c>
      <c r="F144" s="515">
        <f>IF(COUNT($E100,$F100)=2,-SUM(F134,F137,F140)*$K$37/1000000,$D144)</f>
        <v>0</v>
      </c>
      <c r="G144" s="223"/>
      <c r="H144" s="813"/>
      <c r="I144" s="231"/>
      <c r="J144" s="39"/>
      <c r="K144" s="40"/>
      <c r="L144" s="39"/>
      <c r="M144" s="40"/>
      <c r="N144" s="39"/>
      <c r="O144" s="40"/>
    </row>
    <row r="145" spans="1:16" s="24" customFormat="1" x14ac:dyDescent="0.25">
      <c r="A145" s="149">
        <f>MAXA(A$34:A144)+1</f>
        <v>55</v>
      </c>
      <c r="B145" s="147"/>
      <c r="C145" s="24" t="s">
        <v>100</v>
      </c>
      <c r="D145" s="514">
        <f>-SUM(D135,D138,D141)*$K$37/1000000</f>
        <v>0</v>
      </c>
      <c r="E145" s="515">
        <f>IF(COUNT($E101,$F101)=2,-SUM(E135,E138,E141)*$K$37/1000000,$D145)</f>
        <v>0</v>
      </c>
      <c r="F145" s="515">
        <f>IF(COUNT($E101,$F101)=2,-SUM(F135,F138,F141)*$K$37/1000000,$D145)</f>
        <v>0</v>
      </c>
      <c r="G145" s="223"/>
      <c r="H145" s="813"/>
      <c r="I145" s="231"/>
      <c r="J145" s="39"/>
      <c r="K145" s="40"/>
      <c r="L145" s="39"/>
      <c r="M145" s="40"/>
      <c r="N145" s="39"/>
      <c r="O145" s="40"/>
    </row>
    <row r="146" spans="1:16" s="24" customFormat="1" x14ac:dyDescent="0.25">
      <c r="A146" s="149">
        <f>MAXA(A$34:A145)+1</f>
        <v>56</v>
      </c>
      <c r="B146" s="147"/>
      <c r="C146" s="24" t="s">
        <v>101</v>
      </c>
      <c r="D146" s="514">
        <f>SUM(D143:D145)</f>
        <v>8.4057810418122365</v>
      </c>
      <c r="E146" s="515">
        <f>SUM(E143:E145)</f>
        <v>6.4106549981590852</v>
      </c>
      <c r="F146" s="515">
        <f>SUM(F143:F145)</f>
        <v>10.335809317273643</v>
      </c>
      <c r="G146" s="223"/>
      <c r="H146" s="813"/>
      <c r="I146" s="231"/>
      <c r="J146" s="39"/>
      <c r="K146" s="40"/>
      <c r="L146" s="39"/>
      <c r="M146" s="40"/>
      <c r="N146" s="39"/>
      <c r="O146" s="40"/>
    </row>
    <row r="147" spans="1:16" s="24" customFormat="1" ht="18.75" x14ac:dyDescent="0.25">
      <c r="A147" s="144" t="s">
        <v>11</v>
      </c>
      <c r="B147" s="147"/>
      <c r="C147" s="18"/>
      <c r="D147" s="536"/>
      <c r="E147" s="529"/>
      <c r="F147" s="529"/>
      <c r="G147" s="223"/>
      <c r="H147" s="21"/>
      <c r="I147" s="231"/>
      <c r="J147" s="23"/>
      <c r="K147" s="23"/>
      <c r="L147" s="23"/>
      <c r="M147" s="23"/>
      <c r="N147" s="23"/>
      <c r="O147" s="23"/>
    </row>
    <row r="148" spans="1:16" s="24" customFormat="1" ht="15" customHeight="1" x14ac:dyDescent="0.25">
      <c r="A148" s="149">
        <f>MAXA(A$34:A147)+1</f>
        <v>57</v>
      </c>
      <c r="B148" s="147"/>
      <c r="C148" s="24" t="s">
        <v>59</v>
      </c>
      <c r="D148" s="514">
        <f>SUM(D41*D$40+E41*E$40+F41*F$40)/1000000</f>
        <v>0.88</v>
      </c>
      <c r="E148" s="529"/>
      <c r="F148" s="569"/>
      <c r="G148" s="305" t="str">
        <f>CONCATENATE(A148,"-",A150)</f>
        <v>57-59</v>
      </c>
      <c r="H148" s="813" t="s">
        <v>859</v>
      </c>
      <c r="I148" s="231"/>
      <c r="J148" s="23"/>
      <c r="K148" s="23"/>
      <c r="L148" s="23"/>
      <c r="M148" s="23"/>
      <c r="N148" s="23"/>
      <c r="O148" s="23"/>
    </row>
    <row r="149" spans="1:16" s="24" customFormat="1" x14ac:dyDescent="0.25">
      <c r="A149" s="149">
        <f>MAXA(A$34:A148)+1</f>
        <v>58</v>
      </c>
      <c r="B149" s="147"/>
      <c r="C149" s="24" t="s">
        <v>113</v>
      </c>
      <c r="D149" s="514">
        <f>SUM(D42*D$40+E42*E$40+F42*F$40)*D37/1000000</f>
        <v>0.71375882858324313</v>
      </c>
      <c r="E149" s="529"/>
      <c r="F149" s="569"/>
      <c r="G149" s="223"/>
      <c r="H149" s="812"/>
      <c r="I149" s="231"/>
      <c r="J149" s="23"/>
      <c r="K149" s="23"/>
      <c r="L149" s="23"/>
      <c r="M149" s="23"/>
      <c r="N149" s="23"/>
      <c r="O149" s="23"/>
    </row>
    <row r="150" spans="1:16" s="24" customFormat="1" x14ac:dyDescent="0.25">
      <c r="A150" s="149">
        <f>MAXA(A$34:A149)+1</f>
        <v>59</v>
      </c>
      <c r="B150" s="147"/>
      <c r="C150" s="24" t="s">
        <v>60</v>
      </c>
      <c r="D150" s="514">
        <f>D148+D149</f>
        <v>1.5937588285832431</v>
      </c>
      <c r="E150" s="529"/>
      <c r="F150" s="529"/>
      <c r="G150" s="223"/>
      <c r="H150" s="812"/>
      <c r="I150" s="231"/>
      <c r="J150" s="23"/>
      <c r="K150" s="23"/>
      <c r="L150" s="23"/>
      <c r="M150" s="23"/>
      <c r="N150" s="23"/>
      <c r="O150" s="23"/>
    </row>
    <row r="151" spans="1:16" s="24" customFormat="1" x14ac:dyDescent="0.25">
      <c r="A151" s="149">
        <f>MAXA(A$34:A150)+1</f>
        <v>60</v>
      </c>
      <c r="B151" s="147"/>
      <c r="C151" s="24" t="s">
        <v>114</v>
      </c>
      <c r="D151" s="514">
        <f>SUM(D148:D149)*(100+D36)/100</f>
        <v>1.9125105942998917</v>
      </c>
      <c r="E151" s="529"/>
      <c r="F151" s="529"/>
      <c r="G151" s="223">
        <f>A151</f>
        <v>60</v>
      </c>
      <c r="H151" s="18" t="s">
        <v>861</v>
      </c>
      <c r="I151" s="231"/>
      <c r="J151" s="39">
        <f>IF($D151&lt;0,-$D151,0)</f>
        <v>0</v>
      </c>
      <c r="K151" s="40">
        <f>IF($D151&gt;0,$D151,0)</f>
        <v>1.9125105942998917</v>
      </c>
      <c r="L151" s="39"/>
      <c r="M151" s="40"/>
      <c r="N151" s="39"/>
      <c r="O151" s="40"/>
    </row>
    <row r="152" spans="1:16" s="24" customFormat="1" ht="18.75" x14ac:dyDescent="0.25">
      <c r="A152" s="144" t="s">
        <v>117</v>
      </c>
      <c r="B152" s="147"/>
      <c r="C152" s="18"/>
      <c r="D152" s="563" t="s">
        <v>54</v>
      </c>
      <c r="E152" s="563" t="s">
        <v>92</v>
      </c>
      <c r="F152" s="563" t="s">
        <v>93</v>
      </c>
      <c r="G152" s="223"/>
      <c r="H152" s="21"/>
      <c r="I152" s="231"/>
      <c r="J152" s="23"/>
      <c r="K152" s="23"/>
      <c r="L152" s="19"/>
      <c r="M152" s="19"/>
      <c r="N152" s="19"/>
      <c r="O152" s="19"/>
    </row>
    <row r="153" spans="1:16" s="24" customFormat="1" x14ac:dyDescent="0.25">
      <c r="A153" s="149">
        <f>MAXA(A$34:A152)+1</f>
        <v>61</v>
      </c>
      <c r="B153" s="147"/>
      <c r="C153" s="24" t="s">
        <v>12</v>
      </c>
      <c r="D153" s="514">
        <f>SUM(D107,D116,D146)-$D151</f>
        <v>6.8040073185805863</v>
      </c>
      <c r="E153" s="515">
        <f>SUM(E107,D116,E146)-D151</f>
        <v>4.5734044868904533</v>
      </c>
      <c r="F153" s="515">
        <f>SUM(F107,D116,F146)-D151</f>
        <v>8.9129979529500982</v>
      </c>
      <c r="G153" s="223">
        <f>A153</f>
        <v>61</v>
      </c>
      <c r="H153" s="18" t="s">
        <v>860</v>
      </c>
      <c r="I153" s="231"/>
      <c r="J153" s="23"/>
      <c r="K153" s="23"/>
      <c r="L153" s="19"/>
      <c r="M153" s="19"/>
      <c r="N153" s="19"/>
      <c r="O153" s="19"/>
    </row>
    <row r="154" spans="1:16" s="24" customFormat="1" x14ac:dyDescent="0.25">
      <c r="A154" s="149">
        <f>MAXA(A$34:A153)+1</f>
        <v>62</v>
      </c>
      <c r="B154" s="147"/>
      <c r="C154" s="24" t="s">
        <v>14</v>
      </c>
      <c r="D154" s="514">
        <f>D153/D$151</f>
        <v>3.5576311780229974</v>
      </c>
      <c r="E154" s="515">
        <f>E153/D$151</f>
        <v>2.3913093608585361</v>
      </c>
      <c r="F154" s="515">
        <f>F153/D$151</f>
        <v>4.6603652704014742</v>
      </c>
      <c r="G154" s="223">
        <f>A154</f>
        <v>62</v>
      </c>
      <c r="H154" s="18" t="s">
        <v>52</v>
      </c>
      <c r="I154" s="231"/>
      <c r="J154" s="23"/>
      <c r="K154" s="23"/>
      <c r="L154" s="19"/>
      <c r="M154" s="19"/>
      <c r="N154" s="19"/>
      <c r="O154" s="19"/>
    </row>
    <row r="155" spans="1:16" s="24" customFormat="1" x14ac:dyDescent="0.25">
      <c r="A155" s="149">
        <f>MAXA(A$34:A154)+1</f>
        <v>63</v>
      </c>
      <c r="B155" s="147"/>
      <c r="C155" s="24" t="s">
        <v>13</v>
      </c>
      <c r="D155" s="514">
        <f>SUM(D107,D116,D146)/$D151</f>
        <v>4.5576311780229979</v>
      </c>
      <c r="E155" s="515">
        <f>SUM(E107,E116,E146)/$D151</f>
        <v>3.3174830593978109</v>
      </c>
      <c r="F155" s="515">
        <f>SUM(F107,F116,F146)/$D151</f>
        <v>5.586538968940749</v>
      </c>
      <c r="G155" s="223">
        <f>A155</f>
        <v>63</v>
      </c>
      <c r="H155" s="18" t="s">
        <v>168</v>
      </c>
      <c r="I155" s="231"/>
      <c r="J155" s="23"/>
      <c r="K155" s="23"/>
      <c r="L155" s="19"/>
      <c r="M155" s="19"/>
      <c r="N155" s="19"/>
      <c r="O155" s="19"/>
    </row>
    <row r="156" spans="1:16" s="24" customFormat="1" x14ac:dyDescent="0.25">
      <c r="A156" s="149">
        <f>MAXA(A$34:A155)+1</f>
        <v>64</v>
      </c>
      <c r="B156" s="147"/>
      <c r="C156" s="24" t="s">
        <v>53</v>
      </c>
      <c r="D156" s="514">
        <f>D107/$D151</f>
        <v>8.8649593833330445E-2</v>
      </c>
      <c r="E156" s="515">
        <f>E107/$D151</f>
        <v>-3.4474842046295175E-2</v>
      </c>
      <c r="F156" s="515">
        <f>F107/$D151</f>
        <v>0.18222416510184591</v>
      </c>
      <c r="G156" s="223">
        <f>A156</f>
        <v>64</v>
      </c>
      <c r="H156" s="18" t="s">
        <v>950</v>
      </c>
      <c r="I156" s="231"/>
      <c r="J156" s="23"/>
      <c r="K156" s="23"/>
      <c r="L156" s="19"/>
      <c r="M156" s="19"/>
      <c r="N156" s="19"/>
      <c r="O156" s="19"/>
    </row>
    <row r="157" spans="1:16" s="24" customFormat="1" ht="6.75" customHeight="1" x14ac:dyDescent="0.25">
      <c r="A157" s="149"/>
      <c r="B157" s="147"/>
      <c r="D157" s="64"/>
      <c r="E157" s="65"/>
      <c r="F157" s="65"/>
      <c r="G157" s="53"/>
      <c r="H157" s="18"/>
      <c r="I157" s="18"/>
      <c r="J157" s="23"/>
      <c r="K157" s="23"/>
      <c r="L157" s="19"/>
      <c r="M157" s="19"/>
      <c r="N157" s="19"/>
      <c r="O157" s="19"/>
    </row>
    <row r="158" spans="1:16" ht="29.25" customHeight="1" x14ac:dyDescent="0.3">
      <c r="A158" s="207" t="s">
        <v>330</v>
      </c>
      <c r="C158" s="24"/>
      <c r="D158" s="64"/>
      <c r="E158" s="65"/>
      <c r="F158" s="65"/>
      <c r="G158" s="53"/>
      <c r="I158" s="18"/>
      <c r="J158" s="139"/>
      <c r="K158" s="139"/>
      <c r="L158" s="140"/>
      <c r="M158" s="18"/>
      <c r="N158" s="18"/>
      <c r="O158" s="18"/>
      <c r="P158" s="24"/>
    </row>
    <row r="159" spans="1:16" ht="5.0999999999999996" customHeight="1" x14ac:dyDescent="0.25">
      <c r="A159" s="144"/>
      <c r="C159" s="24"/>
      <c r="D159" s="64"/>
      <c r="E159" s="65"/>
      <c r="F159" s="65"/>
      <c r="G159" s="53"/>
      <c r="I159" s="18"/>
      <c r="J159" s="139"/>
      <c r="K159" s="139"/>
      <c r="L159" s="140"/>
      <c r="M159" s="18"/>
      <c r="N159" s="18"/>
      <c r="O159" s="18"/>
      <c r="P159" s="24"/>
    </row>
    <row r="160" spans="1:16" ht="42.75" customHeight="1" x14ac:dyDescent="0.25">
      <c r="A160" s="144"/>
      <c r="C160" s="813" t="s">
        <v>768</v>
      </c>
      <c r="D160" s="812"/>
      <c r="E160" s="812"/>
      <c r="F160" s="812"/>
      <c r="G160" s="812"/>
      <c r="H160" s="812"/>
      <c r="I160" s="812"/>
      <c r="J160" s="139"/>
      <c r="K160" s="139"/>
      <c r="L160" s="140"/>
      <c r="M160" s="18"/>
      <c r="N160" s="18"/>
      <c r="O160" s="18"/>
      <c r="P160" s="24"/>
    </row>
    <row r="161" spans="1:16" ht="305.25" customHeight="1" x14ac:dyDescent="0.25">
      <c r="A161" s="144"/>
      <c r="C161" s="24"/>
      <c r="D161" s="64"/>
      <c r="E161" s="65"/>
      <c r="F161" s="65"/>
      <c r="G161" s="53"/>
      <c r="I161" s="18"/>
      <c r="J161" s="139"/>
      <c r="K161" s="139"/>
      <c r="L161" s="140"/>
      <c r="M161" s="18"/>
      <c r="N161" s="18"/>
      <c r="O161" s="18"/>
      <c r="P161" s="24"/>
    </row>
    <row r="162" spans="1:16" ht="5.0999999999999996" customHeight="1" x14ac:dyDescent="0.25">
      <c r="A162" s="144"/>
      <c r="C162" s="24"/>
      <c r="D162" s="64"/>
      <c r="E162" s="65"/>
      <c r="F162" s="65"/>
      <c r="G162" s="53"/>
      <c r="I162" s="18"/>
      <c r="J162" s="139"/>
      <c r="K162" s="139"/>
      <c r="L162" s="140"/>
      <c r="M162" s="18"/>
      <c r="N162" s="18"/>
      <c r="O162" s="18"/>
      <c r="P162" s="24"/>
    </row>
    <row r="163" spans="1:16" ht="15" customHeight="1" x14ac:dyDescent="0.3">
      <c r="A163" s="207" t="s">
        <v>629</v>
      </c>
      <c r="C163" s="24"/>
      <c r="D163" s="62"/>
      <c r="E163" s="18"/>
      <c r="F163" s="18"/>
      <c r="G163" s="330"/>
      <c r="H163" s="25"/>
      <c r="I163" s="18"/>
      <c r="J163" s="139"/>
      <c r="K163" s="139"/>
      <c r="L163" s="140"/>
      <c r="M163" s="18"/>
      <c r="N163" s="18"/>
      <c r="O163" s="18"/>
      <c r="P163" s="24"/>
    </row>
    <row r="164" spans="1:16" ht="15" customHeight="1" x14ac:dyDescent="0.3">
      <c r="A164" s="207"/>
      <c r="C164" s="24"/>
      <c r="D164" s="62"/>
      <c r="E164" s="18"/>
      <c r="F164" s="18"/>
      <c r="G164" s="330"/>
      <c r="H164" s="25"/>
      <c r="I164" s="18"/>
      <c r="J164" s="139"/>
      <c r="K164" s="139"/>
      <c r="L164" s="140"/>
      <c r="M164" s="18"/>
      <c r="N164" s="18"/>
      <c r="O164" s="18"/>
      <c r="P164" s="24"/>
    </row>
    <row r="165" spans="1:16" ht="15" customHeight="1" x14ac:dyDescent="0.3">
      <c r="A165" s="207"/>
      <c r="C165" s="24"/>
      <c r="D165" s="18"/>
      <c r="E165" s="356" t="s">
        <v>631</v>
      </c>
      <c r="F165" s="18"/>
      <c r="G165" s="330"/>
      <c r="H165" s="468" t="s">
        <v>633</v>
      </c>
      <c r="I165" s="18"/>
      <c r="J165" s="139"/>
      <c r="K165" s="139"/>
      <c r="L165" s="140"/>
      <c r="M165" s="18"/>
      <c r="N165" s="18"/>
      <c r="O165" s="18"/>
      <c r="P165" s="24"/>
    </row>
    <row r="166" spans="1:16" ht="30.75" x14ac:dyDescent="0.3">
      <c r="A166" s="207"/>
      <c r="C166" s="24"/>
      <c r="D166" s="466" t="s">
        <v>524</v>
      </c>
      <c r="E166" s="466" t="s">
        <v>302</v>
      </c>
      <c r="F166" s="466" t="s">
        <v>893</v>
      </c>
      <c r="G166" s="467"/>
      <c r="I166" s="18"/>
      <c r="J166" s="139"/>
      <c r="K166" s="139"/>
      <c r="L166" s="140"/>
      <c r="M166" s="18"/>
      <c r="N166" s="18"/>
      <c r="O166" s="18"/>
      <c r="P166" s="24"/>
    </row>
    <row r="167" spans="1:16" ht="3.95" customHeight="1" x14ac:dyDescent="0.3">
      <c r="A167" s="207"/>
      <c r="C167" s="24"/>
      <c r="D167" s="64"/>
      <c r="E167" s="65"/>
      <c r="F167" s="65"/>
      <c r="G167" s="53"/>
      <c r="I167" s="18"/>
      <c r="J167" s="139"/>
      <c r="K167" s="139"/>
      <c r="L167" s="140"/>
      <c r="M167" s="18"/>
      <c r="N167" s="18"/>
      <c r="O167" s="18"/>
      <c r="P167" s="24"/>
    </row>
    <row r="168" spans="1:16" ht="30" customHeight="1" x14ac:dyDescent="0.25">
      <c r="A168" s="821" t="s">
        <v>24</v>
      </c>
      <c r="B168" s="822"/>
      <c r="C168" s="822"/>
      <c r="D168" s="250" t="s">
        <v>847</v>
      </c>
      <c r="E168" s="465" t="s">
        <v>848</v>
      </c>
      <c r="F168" s="465" t="s">
        <v>848</v>
      </c>
      <c r="G168" s="330"/>
      <c r="H168" s="251" t="s">
        <v>847</v>
      </c>
      <c r="I168" s="18"/>
      <c r="J168" s="139"/>
      <c r="K168" s="139"/>
      <c r="L168" s="140"/>
      <c r="M168" s="18"/>
      <c r="N168" s="18"/>
      <c r="O168" s="18"/>
      <c r="P168" s="24"/>
    </row>
    <row r="169" spans="1:16" ht="3.95" customHeight="1" x14ac:dyDescent="0.25">
      <c r="A169" s="463"/>
      <c r="B169" s="464"/>
      <c r="C169" s="464"/>
      <c r="D169" s="250"/>
      <c r="E169" s="250"/>
      <c r="F169" s="250"/>
      <c r="G169" s="330"/>
      <c r="H169" s="251"/>
      <c r="I169" s="18"/>
      <c r="J169" s="139"/>
      <c r="K169" s="139"/>
      <c r="L169" s="140"/>
      <c r="M169" s="18"/>
      <c r="N169" s="18"/>
      <c r="O169" s="18"/>
      <c r="P169" s="24"/>
    </row>
    <row r="170" spans="1:16" ht="30" customHeight="1" x14ac:dyDescent="0.25">
      <c r="A170" s="821" t="s">
        <v>909</v>
      </c>
      <c r="B170" s="822"/>
      <c r="C170" s="822"/>
      <c r="D170" s="465" t="s">
        <v>848</v>
      </c>
      <c r="E170" s="465" t="s">
        <v>848</v>
      </c>
      <c r="F170" s="465" t="s">
        <v>848</v>
      </c>
      <c r="G170" s="330"/>
      <c r="H170" s="251" t="s">
        <v>892</v>
      </c>
      <c r="I170" s="18"/>
      <c r="J170" s="139"/>
      <c r="K170" s="139"/>
      <c r="L170" s="140"/>
      <c r="M170" s="18"/>
      <c r="N170" s="18"/>
      <c r="O170" s="18"/>
      <c r="P170" s="24"/>
    </row>
    <row r="171" spans="1:16" ht="3.95" customHeight="1" x14ac:dyDescent="0.25">
      <c r="A171" s="463"/>
      <c r="B171" s="464"/>
      <c r="C171" s="464"/>
      <c r="D171" s="250"/>
      <c r="E171" s="250"/>
      <c r="F171" s="250"/>
      <c r="G171" s="330"/>
      <c r="H171" s="251"/>
      <c r="I171" s="18"/>
      <c r="J171" s="139"/>
      <c r="K171" s="139"/>
      <c r="L171" s="140"/>
      <c r="M171" s="18"/>
      <c r="N171" s="18"/>
      <c r="O171" s="18"/>
      <c r="P171" s="24"/>
    </row>
    <row r="172" spans="1:16" ht="15" customHeight="1" x14ac:dyDescent="0.3">
      <c r="A172" s="207"/>
      <c r="C172" s="24"/>
      <c r="D172" s="62"/>
      <c r="E172" s="18"/>
      <c r="F172" s="18"/>
      <c r="G172" s="330"/>
      <c r="H172" s="25"/>
      <c r="I172" s="18"/>
      <c r="J172" s="139"/>
      <c r="K172" s="139"/>
      <c r="L172" s="140"/>
      <c r="M172" s="18"/>
      <c r="N172" s="18"/>
      <c r="O172" s="18"/>
      <c r="P172" s="24"/>
    </row>
    <row r="173" spans="1:16" ht="6.75" customHeight="1" x14ac:dyDescent="0.25">
      <c r="A173" s="149"/>
      <c r="C173" s="24"/>
      <c r="D173" s="64"/>
      <c r="E173" s="65"/>
      <c r="F173" s="65"/>
      <c r="G173" s="53"/>
      <c r="I173" s="18"/>
      <c r="J173" s="139"/>
      <c r="K173" s="139"/>
      <c r="L173" s="140"/>
      <c r="M173" s="18"/>
      <c r="N173" s="18"/>
      <c r="O173" s="18"/>
      <c r="P173" s="24"/>
    </row>
    <row r="174" spans="1:16" s="24" customFormat="1" ht="18.75" x14ac:dyDescent="0.25">
      <c r="A174" s="144" t="s">
        <v>455</v>
      </c>
      <c r="B174" s="147"/>
      <c r="D174" s="64"/>
      <c r="E174" s="65"/>
      <c r="F174" s="65"/>
      <c r="G174" s="53"/>
      <c r="H174" s="18"/>
      <c r="I174" s="18"/>
      <c r="J174" s="23"/>
      <c r="K174" s="23"/>
      <c r="L174" s="19"/>
      <c r="M174" s="19"/>
      <c r="N174" s="19"/>
      <c r="O174" s="19"/>
    </row>
    <row r="175" spans="1:16" s="24" customFormat="1" ht="5.0999999999999996" customHeight="1" x14ac:dyDescent="0.25">
      <c r="A175" s="149"/>
      <c r="B175" s="147"/>
      <c r="D175" s="64"/>
      <c r="E175" s="229"/>
      <c r="F175" s="227"/>
      <c r="G175" s="307"/>
      <c r="H175" s="227"/>
      <c r="I175" s="18"/>
      <c r="J175" s="23"/>
      <c r="K175" s="23"/>
      <c r="L175" s="19"/>
      <c r="M175" s="19"/>
      <c r="N175" s="19"/>
      <c r="O175" s="19"/>
    </row>
    <row r="176" spans="1:16" s="24" customFormat="1" ht="15.75" x14ac:dyDescent="0.25">
      <c r="A176" s="145" t="s">
        <v>925</v>
      </c>
      <c r="B176" s="147"/>
      <c r="D176" s="64"/>
      <c r="E176" s="65"/>
      <c r="F176" s="65"/>
      <c r="G176" s="53"/>
      <c r="H176" s="18"/>
      <c r="I176" s="18"/>
      <c r="J176" s="23"/>
      <c r="K176" s="23"/>
      <c r="L176" s="19"/>
      <c r="M176" s="19"/>
      <c r="N176" s="19"/>
      <c r="O176" s="19"/>
    </row>
    <row r="177" spans="1:16" s="24" customFormat="1" ht="5.0999999999999996" customHeight="1" x14ac:dyDescent="0.25">
      <c r="A177" s="149"/>
      <c r="B177" s="147"/>
      <c r="D177" s="64"/>
      <c r="E177" s="229"/>
      <c r="F177" s="421"/>
      <c r="G177" s="307"/>
      <c r="H177" s="421"/>
      <c r="I177" s="18"/>
      <c r="J177" s="23"/>
      <c r="K177" s="23"/>
      <c r="L177" s="19"/>
      <c r="M177" s="19"/>
      <c r="N177" s="19"/>
      <c r="O177" s="19"/>
    </row>
    <row r="178" spans="1:16" s="24" customFormat="1" ht="15" customHeight="1" x14ac:dyDescent="0.25">
      <c r="A178" s="149"/>
      <c r="B178" s="24" t="s">
        <v>24</v>
      </c>
      <c r="D178" s="411">
        <v>0.5</v>
      </c>
      <c r="E178" s="419" t="s">
        <v>68</v>
      </c>
      <c r="F178" s="423" t="s">
        <v>868</v>
      </c>
      <c r="G178" s="307"/>
      <c r="H178" s="421"/>
      <c r="I178" s="18"/>
      <c r="J178" s="23"/>
      <c r="K178" s="23"/>
      <c r="L178" s="19"/>
      <c r="M178" s="19"/>
      <c r="N178" s="19"/>
      <c r="O178" s="19"/>
    </row>
    <row r="179" spans="1:16" s="24" customFormat="1" ht="5.0999999999999996" customHeight="1" x14ac:dyDescent="0.25">
      <c r="A179" s="149"/>
      <c r="B179" s="147"/>
      <c r="D179" s="64"/>
      <c r="E179" s="229"/>
      <c r="F179" s="421"/>
      <c r="G179" s="307"/>
      <c r="H179" s="421"/>
      <c r="I179" s="18"/>
      <c r="J179" s="23"/>
      <c r="K179" s="23"/>
      <c r="L179" s="19"/>
      <c r="M179" s="19"/>
      <c r="N179" s="19"/>
      <c r="O179" s="19"/>
    </row>
    <row r="180" spans="1:16" s="24" customFormat="1" ht="15" customHeight="1" x14ac:dyDescent="0.25">
      <c r="A180" s="149"/>
      <c r="B180" s="24" t="s">
        <v>23</v>
      </c>
      <c r="D180" s="64"/>
      <c r="E180" s="419"/>
      <c r="F180" s="423" t="s">
        <v>869</v>
      </c>
      <c r="G180" s="307"/>
      <c r="H180" s="421"/>
      <c r="I180" s="18"/>
      <c r="J180" s="23"/>
      <c r="K180" s="23"/>
      <c r="L180" s="19"/>
      <c r="M180" s="19"/>
      <c r="N180" s="19"/>
      <c r="O180" s="19"/>
    </row>
    <row r="181" spans="1:16" s="24" customFormat="1" ht="5.0999999999999996" customHeight="1" x14ac:dyDescent="0.25">
      <c r="A181" s="149"/>
      <c r="B181" s="147"/>
      <c r="D181" s="64"/>
      <c r="E181" s="229"/>
      <c r="F181" s="421"/>
      <c r="G181" s="307"/>
      <c r="H181" s="421"/>
      <c r="I181" s="18"/>
      <c r="J181" s="23"/>
      <c r="K181" s="23"/>
      <c r="L181" s="19"/>
      <c r="M181" s="19"/>
      <c r="N181" s="19"/>
      <c r="O181" s="19"/>
    </row>
    <row r="182" spans="1:16" s="24" customFormat="1" ht="15.75" x14ac:dyDescent="0.25">
      <c r="A182" s="145" t="s">
        <v>926</v>
      </c>
      <c r="B182" s="147"/>
      <c r="D182" s="64"/>
      <c r="E182" s="65"/>
      <c r="F182" s="65"/>
      <c r="G182" s="53"/>
      <c r="H182" s="18"/>
      <c r="I182" s="18"/>
      <c r="J182" s="23"/>
      <c r="K182" s="23"/>
      <c r="L182" s="19"/>
      <c r="M182" s="19"/>
      <c r="N182" s="19"/>
      <c r="O182" s="19"/>
    </row>
    <row r="183" spans="1:16" s="24" customFormat="1" ht="5.0999999999999996" customHeight="1" x14ac:dyDescent="0.25">
      <c r="A183" s="149"/>
      <c r="B183" s="147"/>
      <c r="D183" s="64"/>
      <c r="E183" s="229"/>
      <c r="F183" s="421"/>
      <c r="G183" s="307"/>
      <c r="H183" s="421"/>
      <c r="I183" s="18"/>
      <c r="J183" s="23"/>
      <c r="K183" s="23"/>
      <c r="L183" s="19"/>
      <c r="M183" s="19"/>
      <c r="N183" s="19"/>
      <c r="O183" s="19"/>
    </row>
    <row r="184" spans="1:16" s="24" customFormat="1" ht="15" customHeight="1" x14ac:dyDescent="0.25">
      <c r="A184" s="149"/>
      <c r="B184" s="24" t="s">
        <v>936</v>
      </c>
      <c r="D184" s="64"/>
      <c r="E184" s="229"/>
      <c r="F184" s="421"/>
      <c r="G184" s="307"/>
      <c r="H184" s="421"/>
      <c r="I184" s="18"/>
      <c r="J184" s="23"/>
      <c r="K184" s="23"/>
      <c r="L184" s="19"/>
      <c r="M184" s="19"/>
      <c r="N184" s="19"/>
      <c r="O184" s="19"/>
    </row>
    <row r="185" spans="1:16" ht="30" customHeight="1" x14ac:dyDescent="0.25">
      <c r="A185" s="149"/>
      <c r="B185" s="24"/>
      <c r="C185" s="836" t="s">
        <v>934</v>
      </c>
      <c r="D185" s="812"/>
      <c r="E185" s="812"/>
      <c r="F185" s="812"/>
      <c r="G185" s="812"/>
      <c r="H185" s="812"/>
      <c r="I185" s="18"/>
      <c r="J185" s="139"/>
      <c r="K185" s="139"/>
      <c r="L185" s="140"/>
      <c r="M185" s="18"/>
      <c r="N185" s="18"/>
      <c r="O185" s="18"/>
      <c r="P185" s="24"/>
    </row>
    <row r="186" spans="1:16" s="24" customFormat="1" ht="15" customHeight="1" x14ac:dyDescent="0.25">
      <c r="A186" s="149"/>
      <c r="D186" s="511">
        <v>77</v>
      </c>
      <c r="E186" s="18" t="s">
        <v>543</v>
      </c>
      <c r="F186" s="391" t="s">
        <v>924</v>
      </c>
      <c r="G186" s="307"/>
      <c r="H186" s="421"/>
      <c r="I186" s="18"/>
      <c r="J186" s="23"/>
      <c r="K186" s="23"/>
      <c r="L186" s="19"/>
      <c r="M186" s="19"/>
      <c r="N186" s="19"/>
      <c r="O186" s="19"/>
    </row>
    <row r="187" spans="1:16" s="24" customFormat="1" ht="15" customHeight="1" x14ac:dyDescent="0.25">
      <c r="A187" s="149"/>
      <c r="C187" s="328" t="s">
        <v>933</v>
      </c>
      <c r="D187" s="64"/>
      <c r="E187" s="229"/>
      <c r="F187" s="421"/>
      <c r="G187" s="307"/>
      <c r="H187" s="421"/>
      <c r="I187" s="18"/>
      <c r="J187" s="23"/>
      <c r="K187" s="23"/>
      <c r="L187" s="19"/>
      <c r="M187" s="19"/>
      <c r="N187" s="19"/>
      <c r="O187" s="19"/>
    </row>
    <row r="188" spans="1:16" s="24" customFormat="1" ht="15" customHeight="1" x14ac:dyDescent="0.25">
      <c r="A188" s="149"/>
      <c r="B188" s="147"/>
      <c r="C188" s="479" t="s">
        <v>929</v>
      </c>
      <c r="D188" s="558">
        <v>30</v>
      </c>
      <c r="E188" s="419" t="s">
        <v>61</v>
      </c>
      <c r="F188" s="497" t="s">
        <v>1002</v>
      </c>
      <c r="G188" s="307"/>
      <c r="H188" s="421"/>
      <c r="I188" s="18"/>
      <c r="J188" s="23"/>
      <c r="K188" s="23"/>
      <c r="L188" s="19"/>
      <c r="M188" s="19"/>
      <c r="N188" s="19"/>
      <c r="O188" s="19"/>
    </row>
    <row r="189" spans="1:16" s="24" customFormat="1" ht="15" customHeight="1" x14ac:dyDescent="0.25">
      <c r="A189" s="149"/>
      <c r="B189" s="147"/>
      <c r="C189" s="479" t="s">
        <v>930</v>
      </c>
      <c r="D189" s="558">
        <v>60</v>
      </c>
      <c r="E189" s="419" t="s">
        <v>61</v>
      </c>
      <c r="F189" s="497" t="s">
        <v>1001</v>
      </c>
      <c r="G189" s="307"/>
      <c r="H189" s="421"/>
      <c r="I189" s="18"/>
      <c r="J189" s="23"/>
      <c r="K189" s="23"/>
      <c r="L189" s="19"/>
      <c r="M189" s="19"/>
      <c r="N189" s="19"/>
      <c r="O189" s="19"/>
    </row>
    <row r="190" spans="1:16" s="24" customFormat="1" ht="15" customHeight="1" x14ac:dyDescent="0.25">
      <c r="A190" s="149"/>
      <c r="B190" s="147"/>
      <c r="C190" s="479" t="s">
        <v>931</v>
      </c>
      <c r="D190" s="559">
        <f>100-D188-D189</f>
        <v>10</v>
      </c>
      <c r="E190" s="419" t="s">
        <v>61</v>
      </c>
      <c r="F190" s="421"/>
      <c r="G190" s="307"/>
      <c r="H190" s="421"/>
      <c r="I190" s="18"/>
      <c r="J190" s="23"/>
      <c r="K190" s="23"/>
      <c r="L190" s="19"/>
      <c r="M190" s="19"/>
      <c r="N190" s="19"/>
      <c r="O190" s="19"/>
    </row>
    <row r="191" spans="1:16" s="24" customFormat="1" ht="15" customHeight="1" x14ac:dyDescent="0.25">
      <c r="A191" s="149"/>
      <c r="B191" s="147"/>
      <c r="C191" s="479" t="s">
        <v>932</v>
      </c>
      <c r="D191" s="555">
        <v>85</v>
      </c>
      <c r="E191" s="419" t="s">
        <v>543</v>
      </c>
      <c r="F191" s="421"/>
      <c r="G191" s="307"/>
      <c r="H191" s="421"/>
      <c r="I191" s="18"/>
      <c r="J191" s="23"/>
      <c r="K191" s="23"/>
      <c r="L191" s="19"/>
      <c r="M191" s="19"/>
      <c r="N191" s="19"/>
      <c r="O191" s="19"/>
    </row>
    <row r="192" spans="1:16" ht="15" customHeight="1" x14ac:dyDescent="0.25">
      <c r="A192" s="149"/>
      <c r="C192" s="390" t="s">
        <v>935</v>
      </c>
      <c r="D192" s="570">
        <f>13*D188/100+30*D189/100+D191*D190/100</f>
        <v>30.4</v>
      </c>
      <c r="E192" s="529" t="s">
        <v>543</v>
      </c>
      <c r="F192" s="391" t="s">
        <v>911</v>
      </c>
      <c r="G192" s="423"/>
      <c r="H192" s="423"/>
      <c r="I192" s="18"/>
      <c r="J192" s="139"/>
      <c r="K192" s="139"/>
      <c r="L192" s="140"/>
      <c r="M192" s="18"/>
      <c r="N192" s="18"/>
      <c r="O192" s="18"/>
      <c r="P192" s="24"/>
    </row>
    <row r="193" spans="1:16" ht="15" customHeight="1" x14ac:dyDescent="0.25">
      <c r="A193" s="149"/>
      <c r="C193" s="390"/>
      <c r="D193" s="537">
        <f>G207/G200</f>
        <v>0.20182338530489963</v>
      </c>
      <c r="E193" s="529"/>
      <c r="F193" s="391" t="s">
        <v>140</v>
      </c>
      <c r="G193" s="423"/>
      <c r="H193" s="423"/>
      <c r="I193" s="18"/>
      <c r="J193" s="139"/>
      <c r="K193" s="139"/>
      <c r="L193" s="140"/>
      <c r="M193" s="18"/>
      <c r="N193" s="18"/>
      <c r="O193" s="18"/>
      <c r="P193" s="24"/>
    </row>
    <row r="194" spans="1:16" s="19" customFormat="1" ht="15" hidden="1" customHeight="1" x14ac:dyDescent="0.25">
      <c r="A194" s="22" t="s">
        <v>56</v>
      </c>
      <c r="B194" s="31"/>
      <c r="C194" s="471"/>
      <c r="D194" s="539">
        <f>13/D186</f>
        <v>0.16883116883116883</v>
      </c>
      <c r="E194" s="539"/>
      <c r="F194" s="478" t="s">
        <v>965</v>
      </c>
      <c r="J194" s="48"/>
      <c r="K194" s="48"/>
      <c r="L194" s="137"/>
      <c r="P194" s="33"/>
    </row>
    <row r="195" spans="1:16" s="19" customFormat="1" ht="15" hidden="1" customHeight="1" x14ac:dyDescent="0.25">
      <c r="A195" s="22" t="s">
        <v>56</v>
      </c>
      <c r="B195" s="31"/>
      <c r="C195" s="471"/>
      <c r="D195" s="539">
        <f>30/D186</f>
        <v>0.38961038961038963</v>
      </c>
      <c r="E195" s="539"/>
      <c r="F195" s="478" t="s">
        <v>964</v>
      </c>
      <c r="J195" s="48"/>
      <c r="K195" s="48"/>
      <c r="L195" s="137"/>
      <c r="P195" s="33"/>
    </row>
    <row r="196" spans="1:16" s="19" customFormat="1" ht="15" hidden="1" customHeight="1" x14ac:dyDescent="0.25">
      <c r="A196" s="22" t="s">
        <v>56</v>
      </c>
      <c r="B196" s="31"/>
      <c r="C196" s="471"/>
      <c r="D196" s="539">
        <f>D191/D186</f>
        <v>1.1038961038961039</v>
      </c>
      <c r="E196" s="539"/>
      <c r="F196" s="478" t="s">
        <v>963</v>
      </c>
      <c r="J196" s="48"/>
      <c r="K196" s="48"/>
      <c r="L196" s="137"/>
      <c r="P196" s="33"/>
    </row>
    <row r="197" spans="1:16" s="19" customFormat="1" ht="15" hidden="1" customHeight="1" x14ac:dyDescent="0.25">
      <c r="A197" s="22" t="s">
        <v>56</v>
      </c>
      <c r="B197" s="31"/>
      <c r="C197" s="471"/>
      <c r="D197" s="540" t="s">
        <v>63</v>
      </c>
      <c r="E197" s="540" t="s">
        <v>64</v>
      </c>
      <c r="F197" s="428" t="s">
        <v>65</v>
      </c>
      <c r="J197" s="48"/>
      <c r="K197" s="48"/>
      <c r="L197" s="137"/>
      <c r="P197" s="33"/>
    </row>
    <row r="198" spans="1:16" s="19" customFormat="1" ht="15" hidden="1" customHeight="1" x14ac:dyDescent="0.25">
      <c r="A198" s="22" t="s">
        <v>56</v>
      </c>
      <c r="B198" s="31"/>
      <c r="C198" s="471"/>
      <c r="D198" s="541">
        <v>2.4059436665997298</v>
      </c>
      <c r="E198" s="541">
        <v>8.8169255763859695</v>
      </c>
      <c r="F198" s="472">
        <v>88.777130757014305</v>
      </c>
      <c r="G198" s="473">
        <f>SUM(D198:F198)</f>
        <v>100</v>
      </c>
      <c r="H198" s="93" t="s">
        <v>915</v>
      </c>
      <c r="J198" s="48"/>
      <c r="K198" s="48"/>
      <c r="L198" s="137"/>
      <c r="P198" s="33"/>
    </row>
    <row r="199" spans="1:16" s="19" customFormat="1" ht="15" hidden="1" customHeight="1" x14ac:dyDescent="0.25">
      <c r="A199" s="22" t="s">
        <v>56</v>
      </c>
      <c r="B199" s="31"/>
      <c r="C199" s="471"/>
      <c r="D199" s="542">
        <f>'Data-beregninger'!C13/1000000</f>
        <v>35.370154666703996</v>
      </c>
      <c r="E199" s="543">
        <f>'Data-beregninger'!C16/1000000</f>
        <v>9.5306078078639995</v>
      </c>
      <c r="F199" s="436">
        <f>'Data-beregninger'!C17/1000000</f>
        <v>0.71820526034400012</v>
      </c>
      <c r="H199" s="19" t="s">
        <v>912</v>
      </c>
      <c r="J199" s="48"/>
      <c r="K199" s="48"/>
      <c r="L199" s="137"/>
      <c r="P199" s="33"/>
    </row>
    <row r="200" spans="1:16" s="19" customFormat="1" ht="15" hidden="1" customHeight="1" x14ac:dyDescent="0.25">
      <c r="A200" s="22" t="s">
        <v>56</v>
      </c>
      <c r="B200" s="31"/>
      <c r="C200" s="471"/>
      <c r="D200" s="544">
        <f>D199*D198</f>
        <v>85.098599607009362</v>
      </c>
      <c r="E200" s="544">
        <f>E199*E198</f>
        <v>84.03065973965991</v>
      </c>
      <c r="F200" s="474">
        <f>F199*F198</f>
        <v>63.760202307934797</v>
      </c>
      <c r="G200" s="475">
        <f>SUM(D200:F200)</f>
        <v>232.88946165460408</v>
      </c>
      <c r="H200" s="446" t="s">
        <v>918</v>
      </c>
      <c r="J200" s="48"/>
      <c r="K200" s="48"/>
      <c r="L200" s="137"/>
      <c r="P200" s="33"/>
    </row>
    <row r="201" spans="1:16" s="19" customFormat="1" ht="15" hidden="1" customHeight="1" x14ac:dyDescent="0.25">
      <c r="A201" s="22" t="s">
        <v>56</v>
      </c>
      <c r="B201" s="31"/>
      <c r="C201" s="471"/>
      <c r="D201" s="539">
        <f>'Data-beregninger'!C43</f>
        <v>4.5999999999999996</v>
      </c>
      <c r="E201" s="539">
        <f>'Data-beregninger'!D43</f>
        <v>3.5</v>
      </c>
      <c r="F201" s="476">
        <f>'Data-beregninger'!E43</f>
        <v>1.4</v>
      </c>
      <c r="H201" s="19" t="s">
        <v>914</v>
      </c>
      <c r="J201" s="48"/>
      <c r="K201" s="48"/>
      <c r="L201" s="137"/>
      <c r="P201" s="33"/>
    </row>
    <row r="202" spans="1:16" s="19" customFormat="1" ht="15" hidden="1" customHeight="1" x14ac:dyDescent="0.25">
      <c r="A202" s="22" t="s">
        <v>56</v>
      </c>
      <c r="B202" s="31"/>
      <c r="C202" s="471"/>
      <c r="D202" s="539">
        <f>$D194^D$201</f>
        <v>2.7943582555018379E-4</v>
      </c>
      <c r="E202" s="539">
        <f>$D194^E201</f>
        <v>1.9773529446266321E-3</v>
      </c>
      <c r="F202" s="476">
        <f>$D194^F201</f>
        <v>8.2876934352182921E-2</v>
      </c>
      <c r="H202" s="19" t="s">
        <v>966</v>
      </c>
      <c r="J202" s="48"/>
      <c r="K202" s="48"/>
      <c r="L202" s="137"/>
      <c r="P202" s="33"/>
    </row>
    <row r="203" spans="1:16" s="19" customFormat="1" ht="15" hidden="1" customHeight="1" x14ac:dyDescent="0.25">
      <c r="A203" s="22" t="s">
        <v>56</v>
      </c>
      <c r="B203" s="31"/>
      <c r="C203" s="471"/>
      <c r="D203" s="539">
        <f>$D195^D$201</f>
        <v>1.3088818211957162E-2</v>
      </c>
      <c r="E203" s="539">
        <f t="shared" ref="E203:F203" si="7">$D195^E$201</f>
        <v>3.6915338357081967E-2</v>
      </c>
      <c r="F203" s="476">
        <f t="shared" si="7"/>
        <v>0.26722847997464844</v>
      </c>
      <c r="H203" s="19" t="s">
        <v>967</v>
      </c>
      <c r="J203" s="48"/>
      <c r="K203" s="48"/>
      <c r="L203" s="137"/>
      <c r="P203" s="33"/>
    </row>
    <row r="204" spans="1:16" s="19" customFormat="1" ht="15" hidden="1" customHeight="1" x14ac:dyDescent="0.25">
      <c r="A204" s="22" t="s">
        <v>56</v>
      </c>
      <c r="B204" s="31"/>
      <c r="C204" s="471"/>
      <c r="D204" s="539">
        <f>$D196^D$201</f>
        <v>1.5756861675303246</v>
      </c>
      <c r="E204" s="539">
        <f t="shared" ref="E204:F204" si="8">$D196^E$201</f>
        <v>1.4133466761851226</v>
      </c>
      <c r="F204" s="476">
        <f t="shared" si="8"/>
        <v>1.1484166510324418</v>
      </c>
      <c r="H204" s="19" t="s">
        <v>968</v>
      </c>
      <c r="J204" s="48"/>
      <c r="K204" s="48"/>
      <c r="L204" s="137"/>
      <c r="P204" s="33"/>
    </row>
    <row r="205" spans="1:16" s="19" customFormat="1" ht="15" hidden="1" customHeight="1" x14ac:dyDescent="0.25">
      <c r="A205" s="22" t="s">
        <v>56</v>
      </c>
      <c r="B205" s="31"/>
      <c r="C205" s="471"/>
      <c r="D205" s="539">
        <f>D202*$D188/100+D203*$D189/100+D204*$D190/100</f>
        <v>0.16550573842787181</v>
      </c>
      <c r="E205" s="539">
        <f>E202*$D188/100+E203*$D189/100+E204*$D190/100</f>
        <v>0.16407707651614944</v>
      </c>
      <c r="F205" s="476">
        <f>F202*$D188/100+F203*$D189/100+F204*$D190/100</f>
        <v>0.30004183339368806</v>
      </c>
      <c r="H205" s="19" t="s">
        <v>969</v>
      </c>
      <c r="J205" s="48"/>
      <c r="K205" s="48"/>
      <c r="L205" s="137"/>
      <c r="P205" s="33"/>
    </row>
    <row r="206" spans="1:16" s="19" customFormat="1" ht="15" hidden="1" customHeight="1" x14ac:dyDescent="0.25">
      <c r="A206" s="22" t="s">
        <v>56</v>
      </c>
      <c r="B206" s="31"/>
      <c r="C206" s="471"/>
      <c r="D206" s="545">
        <f t="shared" ref="D206:F207" si="9">D205*D198</f>
        <v>0.39819748315644971</v>
      </c>
      <c r="E206" s="545">
        <f t="shared" si="9"/>
        <v>1.4466553724338758</v>
      </c>
      <c r="F206" s="477">
        <f t="shared" si="9"/>
        <v>26.636853075765746</v>
      </c>
      <c r="G206" s="473">
        <f>SUM(D206:F206)</f>
        <v>28.481705931356071</v>
      </c>
      <c r="H206" s="93" t="s">
        <v>917</v>
      </c>
      <c r="J206" s="48"/>
      <c r="K206" s="48"/>
      <c r="L206" s="137"/>
      <c r="P206" s="33"/>
    </row>
    <row r="207" spans="1:16" s="19" customFormat="1" ht="15" hidden="1" customHeight="1" x14ac:dyDescent="0.25">
      <c r="A207" s="22" t="s">
        <v>56</v>
      </c>
      <c r="B207" s="31"/>
      <c r="C207" s="471"/>
      <c r="D207" s="544">
        <f t="shared" si="9"/>
        <v>14.084306567135885</v>
      </c>
      <c r="E207" s="544">
        <f t="shared" si="9"/>
        <v>13.787504987806699</v>
      </c>
      <c r="F207" s="474">
        <f t="shared" si="9"/>
        <v>19.130727998025218</v>
      </c>
      <c r="G207" s="475">
        <f>SUM(D207:F207)</f>
        <v>47.002539552967804</v>
      </c>
      <c r="H207" s="446" t="s">
        <v>919</v>
      </c>
      <c r="J207" s="48"/>
      <c r="K207" s="48"/>
      <c r="L207" s="137"/>
      <c r="P207" s="33"/>
    </row>
    <row r="208" spans="1:16" s="24" customFormat="1" ht="5.0999999999999996" customHeight="1" x14ac:dyDescent="0.25">
      <c r="A208" s="149"/>
      <c r="B208" s="147"/>
      <c r="D208" s="530"/>
      <c r="E208" s="534"/>
      <c r="F208" s="421"/>
      <c r="G208" s="307"/>
      <c r="H208" s="421"/>
      <c r="I208" s="18"/>
      <c r="J208" s="23"/>
      <c r="K208" s="23"/>
      <c r="L208" s="19"/>
      <c r="M208" s="19"/>
      <c r="N208" s="19"/>
      <c r="O208" s="19"/>
    </row>
    <row r="209" spans="1:15" s="24" customFormat="1" ht="15.75" x14ac:dyDescent="0.25">
      <c r="A209" s="145" t="s">
        <v>927</v>
      </c>
      <c r="B209" s="147"/>
      <c r="D209" s="530"/>
      <c r="E209" s="531"/>
      <c r="F209" s="65"/>
      <c r="G209" s="53"/>
      <c r="H209" s="18"/>
      <c r="I209" s="18"/>
      <c r="J209" s="23"/>
      <c r="K209" s="23"/>
      <c r="L209" s="19"/>
      <c r="M209" s="19"/>
      <c r="N209" s="19"/>
      <c r="O209" s="19"/>
    </row>
    <row r="210" spans="1:15" s="24" customFormat="1" ht="3.95" customHeight="1" x14ac:dyDescent="0.25">
      <c r="A210" s="145"/>
      <c r="B210" s="147"/>
      <c r="C210" s="328"/>
      <c r="D210" s="530"/>
      <c r="E210" s="531"/>
      <c r="F210" s="65"/>
      <c r="G210" s="53"/>
      <c r="H210" s="18"/>
      <c r="I210" s="18"/>
      <c r="J210" s="23"/>
      <c r="K210" s="23"/>
      <c r="L210" s="19"/>
      <c r="M210" s="19"/>
      <c r="N210" s="19"/>
      <c r="O210" s="19"/>
    </row>
    <row r="211" spans="1:15" s="24" customFormat="1" ht="15" customHeight="1" x14ac:dyDescent="0.25">
      <c r="A211" s="145"/>
      <c r="B211" s="24" t="s">
        <v>24</v>
      </c>
      <c r="C211" s="328"/>
      <c r="D211" s="530"/>
      <c r="E211" s="531"/>
      <c r="F211" s="65"/>
      <c r="G211" s="53"/>
      <c r="H211" s="18"/>
      <c r="I211" s="18"/>
      <c r="J211" s="23"/>
      <c r="K211" s="23"/>
      <c r="L211" s="19"/>
      <c r="M211" s="19"/>
      <c r="N211" s="19"/>
      <c r="O211" s="19"/>
    </row>
    <row r="212" spans="1:15" s="24" customFormat="1" x14ac:dyDescent="0.25">
      <c r="A212" s="149"/>
      <c r="B212" s="147"/>
      <c r="C212" s="394" t="s">
        <v>735</v>
      </c>
      <c r="D212" s="571">
        <v>-18</v>
      </c>
      <c r="E212" s="572" t="s">
        <v>61</v>
      </c>
      <c r="F212" s="72" t="s">
        <v>754</v>
      </c>
      <c r="G212" s="53"/>
      <c r="H212" s="18"/>
      <c r="I212" s="18"/>
      <c r="J212" s="23"/>
      <c r="K212" s="23"/>
      <c r="L212" s="19"/>
      <c r="M212" s="19"/>
      <c r="N212" s="19"/>
      <c r="O212" s="19"/>
    </row>
    <row r="213" spans="1:15" s="24" customFormat="1" x14ac:dyDescent="0.25">
      <c r="A213" s="149"/>
      <c r="B213" s="147"/>
      <c r="C213" s="395" t="s">
        <v>736</v>
      </c>
      <c r="D213" s="571">
        <v>7</v>
      </c>
      <c r="E213" s="572" t="s">
        <v>61</v>
      </c>
      <c r="F213" s="65"/>
      <c r="G213" s="53"/>
      <c r="H213" s="18"/>
      <c r="I213" s="18"/>
      <c r="J213" s="23"/>
      <c r="K213" s="23"/>
      <c r="L213" s="19"/>
      <c r="M213" s="19"/>
      <c r="N213" s="19"/>
      <c r="O213" s="19"/>
    </row>
    <row r="214" spans="1:15" s="24" customFormat="1" x14ac:dyDescent="0.25">
      <c r="A214" s="149"/>
      <c r="B214" s="147"/>
      <c r="C214" s="395" t="s">
        <v>737</v>
      </c>
      <c r="D214" s="571">
        <v>-37</v>
      </c>
      <c r="E214" s="572" t="s">
        <v>61</v>
      </c>
      <c r="F214" s="65"/>
      <c r="G214" s="53"/>
      <c r="H214" s="18"/>
      <c r="I214" s="18"/>
      <c r="J214" s="23"/>
      <c r="K214" s="23"/>
      <c r="L214" s="19"/>
      <c r="M214" s="19"/>
      <c r="N214" s="19"/>
      <c r="O214" s="19"/>
    </row>
    <row r="215" spans="1:15" s="24" customFormat="1" ht="5.0999999999999996" customHeight="1" x14ac:dyDescent="0.25">
      <c r="A215" s="149"/>
      <c r="B215" s="147"/>
      <c r="D215" s="530"/>
      <c r="E215" s="531"/>
      <c r="F215" s="65"/>
      <c r="G215" s="53"/>
      <c r="H215" s="18"/>
      <c r="I215" s="18"/>
      <c r="J215" s="23"/>
      <c r="K215" s="23"/>
      <c r="L215" s="19"/>
      <c r="M215" s="19"/>
      <c r="N215" s="19"/>
      <c r="O215" s="19"/>
    </row>
    <row r="216" spans="1:15" ht="15.75" x14ac:dyDescent="0.25">
      <c r="A216" s="145"/>
      <c r="B216" s="24" t="s">
        <v>854</v>
      </c>
      <c r="C216" s="24"/>
      <c r="D216" s="530"/>
      <c r="E216" s="531"/>
      <c r="F216" s="65"/>
      <c r="G216" s="53"/>
      <c r="I216" s="18"/>
    </row>
    <row r="217" spans="1:15" ht="15.75" x14ac:dyDescent="0.25">
      <c r="A217" s="145"/>
      <c r="C217" s="394" t="s">
        <v>735</v>
      </c>
      <c r="D217" s="571">
        <v>-10</v>
      </c>
      <c r="E217" s="572" t="s">
        <v>61</v>
      </c>
      <c r="F217" s="72" t="s">
        <v>938</v>
      </c>
      <c r="G217" s="53"/>
      <c r="I217" s="18"/>
    </row>
    <row r="218" spans="1:15" ht="15.75" x14ac:dyDescent="0.25">
      <c r="A218" s="145"/>
      <c r="C218" s="395" t="s">
        <v>736</v>
      </c>
      <c r="D218" s="571">
        <v>0</v>
      </c>
      <c r="E218" s="572" t="s">
        <v>61</v>
      </c>
      <c r="F218" s="65"/>
      <c r="G218" s="53"/>
      <c r="I218" s="18"/>
    </row>
    <row r="219" spans="1:15" ht="15.75" x14ac:dyDescent="0.25">
      <c r="A219" s="145"/>
      <c r="C219" s="395" t="s">
        <v>737</v>
      </c>
      <c r="D219" s="571">
        <v>-33</v>
      </c>
      <c r="E219" s="572" t="s">
        <v>61</v>
      </c>
      <c r="F219" s="65"/>
      <c r="G219" s="53"/>
      <c r="I219" s="18"/>
    </row>
    <row r="220" spans="1:15" ht="15.75" x14ac:dyDescent="0.25">
      <c r="A220" s="145"/>
      <c r="C220" s="24"/>
      <c r="D220" s="530"/>
      <c r="E220" s="531"/>
      <c r="F220" s="65"/>
      <c r="G220" s="53"/>
      <c r="I220" s="18"/>
    </row>
    <row r="221" spans="1:15" s="24" customFormat="1" ht="5.0999999999999996" customHeight="1" x14ac:dyDescent="0.25">
      <c r="A221" s="149"/>
      <c r="B221" s="147"/>
      <c r="D221" s="530"/>
      <c r="E221" s="531"/>
      <c r="F221" s="65"/>
      <c r="G221" s="53"/>
      <c r="H221" s="18"/>
      <c r="I221" s="18"/>
      <c r="J221" s="23"/>
      <c r="K221" s="23"/>
      <c r="L221" s="19"/>
      <c r="M221" s="19"/>
      <c r="N221" s="19"/>
      <c r="O221" s="19"/>
    </row>
    <row r="222" spans="1:15" s="24" customFormat="1" ht="5.0999999999999996" customHeight="1" x14ac:dyDescent="0.25">
      <c r="A222" s="149"/>
      <c r="B222" s="147"/>
      <c r="D222" s="530"/>
      <c r="E222" s="531"/>
      <c r="F222" s="65"/>
      <c r="G222" s="53"/>
      <c r="H222" s="18"/>
      <c r="I222" s="18"/>
      <c r="J222" s="23"/>
      <c r="K222" s="23"/>
      <c r="L222" s="19"/>
      <c r="M222" s="19"/>
      <c r="N222" s="19"/>
      <c r="O222" s="19"/>
    </row>
    <row r="223" spans="1:15" ht="15.75" x14ac:dyDescent="0.25">
      <c r="A223" s="145" t="s">
        <v>928</v>
      </c>
      <c r="C223" s="24"/>
      <c r="D223" s="530"/>
      <c r="E223" s="531"/>
      <c r="F223" s="65"/>
      <c r="G223" s="53"/>
      <c r="I223" s="18"/>
    </row>
    <row r="224" spans="1:15" ht="3.95" customHeight="1" x14ac:dyDescent="0.25">
      <c r="A224" s="145"/>
      <c r="C224" s="24"/>
      <c r="D224" s="530"/>
      <c r="E224" s="531"/>
      <c r="F224" s="65"/>
      <c r="G224" s="53"/>
      <c r="I224" s="18"/>
    </row>
    <row r="225" spans="1:9" ht="15.75" x14ac:dyDescent="0.25">
      <c r="A225" s="145"/>
      <c r="B225" s="24" t="s">
        <v>456</v>
      </c>
      <c r="C225" s="24"/>
      <c r="D225" s="530"/>
      <c r="E225" s="531"/>
      <c r="F225" s="65"/>
      <c r="G225" s="53"/>
      <c r="I225" s="18"/>
    </row>
    <row r="226" spans="1:9" x14ac:dyDescent="0.25">
      <c r="A226" s="149"/>
      <c r="C226" s="395" t="s">
        <v>739</v>
      </c>
      <c r="D226" s="529"/>
      <c r="E226" s="529"/>
      <c r="F226" s="72" t="s">
        <v>755</v>
      </c>
      <c r="G226" s="53"/>
      <c r="I226" s="18"/>
    </row>
    <row r="227" spans="1:9" x14ac:dyDescent="0.25">
      <c r="A227" s="149"/>
      <c r="C227" s="395"/>
      <c r="D227" s="529"/>
      <c r="E227" s="529"/>
      <c r="F227" s="72" t="s">
        <v>756</v>
      </c>
      <c r="G227" s="53"/>
      <c r="I227" s="18"/>
    </row>
    <row r="228" spans="1:9" x14ac:dyDescent="0.25">
      <c r="A228" s="149"/>
      <c r="C228" s="395" t="s">
        <v>740</v>
      </c>
      <c r="D228" s="855" t="s">
        <v>846</v>
      </c>
      <c r="E228" s="857"/>
      <c r="F228" s="72" t="s">
        <v>757</v>
      </c>
      <c r="G228" s="53"/>
      <c r="I228" s="18"/>
    </row>
    <row r="229" spans="1:9" x14ac:dyDescent="0.25">
      <c r="A229" s="149"/>
      <c r="C229" s="24"/>
      <c r="D229" s="855" t="s">
        <v>741</v>
      </c>
      <c r="E229" s="856"/>
      <c r="F229" s="72" t="s">
        <v>759</v>
      </c>
      <c r="G229" s="53"/>
      <c r="I229" s="18"/>
    </row>
    <row r="230" spans="1:9" x14ac:dyDescent="0.25">
      <c r="A230" s="149"/>
      <c r="C230" s="24"/>
      <c r="D230" s="855" t="s">
        <v>741</v>
      </c>
      <c r="E230" s="856"/>
      <c r="F230" s="72" t="s">
        <v>910</v>
      </c>
      <c r="G230" s="53"/>
      <c r="I230" s="18"/>
    </row>
    <row r="231" spans="1:9" x14ac:dyDescent="0.25">
      <c r="A231" s="149"/>
      <c r="C231" s="24"/>
      <c r="D231" s="855" t="s">
        <v>845</v>
      </c>
      <c r="E231" s="857"/>
      <c r="F231" s="72" t="s">
        <v>844</v>
      </c>
      <c r="G231" s="53"/>
      <c r="I231" s="18"/>
    </row>
    <row r="232" spans="1:9" x14ac:dyDescent="0.25">
      <c r="A232" s="149"/>
      <c r="C232" s="24"/>
      <c r="D232" s="531"/>
      <c r="E232" s="529"/>
      <c r="F232" s="72" t="s">
        <v>760</v>
      </c>
      <c r="G232" s="53"/>
      <c r="I232" s="18"/>
    </row>
    <row r="233" spans="1:9" x14ac:dyDescent="0.25">
      <c r="A233" s="149"/>
      <c r="C233" s="24"/>
      <c r="D233" s="531"/>
      <c r="E233" s="529"/>
      <c r="F233" s="72"/>
      <c r="G233" s="53"/>
      <c r="I233" s="18"/>
    </row>
    <row r="234" spans="1:9" ht="15.75" x14ac:dyDescent="0.25">
      <c r="A234" s="145"/>
      <c r="B234" s="24" t="s">
        <v>854</v>
      </c>
      <c r="C234" s="24"/>
      <c r="D234" s="530"/>
      <c r="E234" s="531"/>
      <c r="F234" s="65"/>
      <c r="G234" s="53"/>
      <c r="I234" s="18"/>
    </row>
    <row r="235" spans="1:9" x14ac:dyDescent="0.25">
      <c r="A235" s="149"/>
      <c r="C235" s="395" t="s">
        <v>739</v>
      </c>
      <c r="D235" s="529"/>
      <c r="E235" s="529"/>
      <c r="F235" s="72" t="s">
        <v>939</v>
      </c>
      <c r="G235" s="53"/>
      <c r="I235" s="18"/>
    </row>
    <row r="236" spans="1:9" ht="3.95" customHeight="1" x14ac:dyDescent="0.25">
      <c r="A236" s="149"/>
      <c r="C236" s="395"/>
      <c r="D236" s="529"/>
      <c r="E236" s="529"/>
      <c r="F236" s="72"/>
      <c r="G236" s="53"/>
      <c r="I236" s="18"/>
    </row>
    <row r="237" spans="1:9" x14ac:dyDescent="0.25">
      <c r="A237" s="149"/>
      <c r="C237" s="395" t="s">
        <v>740</v>
      </c>
      <c r="D237" s="855" t="s">
        <v>940</v>
      </c>
      <c r="E237" s="857"/>
      <c r="F237" s="72" t="s">
        <v>757</v>
      </c>
      <c r="G237" s="53"/>
      <c r="I237" s="18"/>
    </row>
    <row r="238" spans="1:9" x14ac:dyDescent="0.25">
      <c r="A238" s="149"/>
      <c r="C238" s="24"/>
      <c r="D238" s="855" t="s">
        <v>942</v>
      </c>
      <c r="E238" s="856"/>
      <c r="F238" s="72" t="s">
        <v>759</v>
      </c>
      <c r="G238" s="53"/>
      <c r="I238" s="18"/>
    </row>
    <row r="239" spans="1:9" x14ac:dyDescent="0.25">
      <c r="A239" s="149"/>
      <c r="C239" s="24"/>
      <c r="D239" s="855" t="s">
        <v>942</v>
      </c>
      <c r="E239" s="856"/>
      <c r="F239" s="72" t="s">
        <v>910</v>
      </c>
      <c r="G239" s="53"/>
      <c r="I239" s="18"/>
    </row>
    <row r="240" spans="1:9" x14ac:dyDescent="0.25">
      <c r="A240" s="149"/>
      <c r="C240" s="24"/>
      <c r="D240" s="855" t="s">
        <v>941</v>
      </c>
      <c r="E240" s="857"/>
      <c r="F240" s="72" t="s">
        <v>844</v>
      </c>
      <c r="G240" s="53"/>
      <c r="I240" s="18"/>
    </row>
    <row r="241" spans="1:14" x14ac:dyDescent="0.25">
      <c r="A241" s="149"/>
      <c r="C241" s="24"/>
      <c r="D241" s="65"/>
      <c r="E241" s="18"/>
      <c r="F241" s="72" t="s">
        <v>760</v>
      </c>
      <c r="G241" s="53"/>
      <c r="I241" s="18"/>
    </row>
    <row r="242" spans="1:14" x14ac:dyDescent="0.25">
      <c r="A242" s="149"/>
      <c r="C242" s="24"/>
      <c r="D242" s="64"/>
      <c r="E242" s="65"/>
      <c r="F242" s="65"/>
      <c r="G242" s="53"/>
      <c r="I242" s="18"/>
    </row>
    <row r="243" spans="1:14" ht="5.25" hidden="1" customHeight="1" x14ac:dyDescent="0.25">
      <c r="D243" s="231"/>
      <c r="E243" s="231"/>
      <c r="F243" s="231"/>
      <c r="G243" s="53"/>
      <c r="H243" s="21"/>
      <c r="I243" s="231"/>
    </row>
    <row r="244" spans="1:14" hidden="1" x14ac:dyDescent="0.25">
      <c r="A244" s="154" t="s">
        <v>57</v>
      </c>
      <c r="H244" s="32"/>
    </row>
    <row r="245" spans="1:14" hidden="1" x14ac:dyDescent="0.25">
      <c r="C245" s="155" t="s">
        <v>10</v>
      </c>
      <c r="D245" s="44"/>
      <c r="E245" s="45" t="s">
        <v>51</v>
      </c>
      <c r="F245" s="44"/>
      <c r="G245" s="58" t="s">
        <v>10</v>
      </c>
      <c r="H245" s="19"/>
      <c r="J245" s="44" t="s">
        <v>49</v>
      </c>
      <c r="K245" s="43" t="s">
        <v>47</v>
      </c>
      <c r="L245" s="45" t="s">
        <v>50</v>
      </c>
      <c r="M245" s="45" t="s">
        <v>50</v>
      </c>
    </row>
    <row r="246" spans="1:14" s="19" customFormat="1" hidden="1" x14ac:dyDescent="0.25">
      <c r="A246" s="147"/>
      <c r="B246" s="147"/>
      <c r="C246" s="156">
        <v>0</v>
      </c>
      <c r="D246" s="46">
        <f>((100-D$35)/100)^C246</f>
        <v>1</v>
      </c>
      <c r="E246" s="23">
        <v>1</v>
      </c>
      <c r="F246" s="46">
        <v>1</v>
      </c>
      <c r="G246" s="308"/>
      <c r="J246" s="44"/>
      <c r="M246" s="47">
        <f>J246*E246</f>
        <v>0</v>
      </c>
    </row>
    <row r="247" spans="1:14" s="19" customFormat="1" hidden="1" x14ac:dyDescent="0.25">
      <c r="A247" s="147"/>
      <c r="B247" s="147"/>
      <c r="C247" s="156">
        <f t="shared" ref="C247:C271" si="10">C246+1</f>
        <v>1</v>
      </c>
      <c r="D247" s="46">
        <f>1/((100+D$35)/100)^C247</f>
        <v>0.96153846153846145</v>
      </c>
      <c r="E247" s="48">
        <f t="shared" ref="E247:E271" si="11">((100+D$52)/100)^C247</f>
        <v>1.03</v>
      </c>
      <c r="F247" s="46">
        <f>E247*D247</f>
        <v>0.99038461538461531</v>
      </c>
      <c r="G247" s="309">
        <v>1</v>
      </c>
      <c r="J247" s="77">
        <f>SUM(D$247:D247)</f>
        <v>0.96153846153846145</v>
      </c>
      <c r="K247" s="44">
        <v>1</v>
      </c>
      <c r="L247" s="77">
        <f>SUM(F$247:F247)</f>
        <v>0.99038461538461531</v>
      </c>
      <c r="M247" s="47">
        <v>1</v>
      </c>
    </row>
    <row r="248" spans="1:14" s="19" customFormat="1" hidden="1" x14ac:dyDescent="0.25">
      <c r="A248" s="147"/>
      <c r="B248" s="147"/>
      <c r="C248" s="156">
        <f t="shared" si="10"/>
        <v>2</v>
      </c>
      <c r="D248" s="46">
        <f t="shared" ref="D248:D271" si="12">1/((100+D$35)/100)^C248</f>
        <v>0.92455621301775137</v>
      </c>
      <c r="E248" s="48">
        <f t="shared" si="11"/>
        <v>1.0609</v>
      </c>
      <c r="F248" s="46">
        <f t="shared" ref="F248:F271" si="13">E248*D248</f>
        <v>0.98086168639053239</v>
      </c>
      <c r="G248" s="309">
        <f>G247+1</f>
        <v>2</v>
      </c>
      <c r="J248" s="77">
        <f>SUM(D$247:D248)</f>
        <v>1.8860946745562128</v>
      </c>
      <c r="K248" s="44">
        <f t="shared" ref="K248:K271" si="14">K247+1</f>
        <v>2</v>
      </c>
      <c r="L248" s="77">
        <f>SUM(F$247:F248)</f>
        <v>1.9712463017751478</v>
      </c>
      <c r="M248" s="47">
        <f t="shared" ref="M248:M271" si="15">J248*E248</f>
        <v>2.0009578402366861</v>
      </c>
    </row>
    <row r="249" spans="1:14" s="19" customFormat="1" hidden="1" x14ac:dyDescent="0.25">
      <c r="A249" s="147"/>
      <c r="B249" s="147"/>
      <c r="C249" s="156">
        <f t="shared" si="10"/>
        <v>3</v>
      </c>
      <c r="D249" s="46">
        <f t="shared" si="12"/>
        <v>0.88899635867091487</v>
      </c>
      <c r="E249" s="48">
        <f t="shared" si="11"/>
        <v>1.092727</v>
      </c>
      <c r="F249" s="46">
        <f t="shared" si="13"/>
        <v>0.97143032402139284</v>
      </c>
      <c r="G249" s="309">
        <f t="shared" ref="G249:G271" si="16">G248+1</f>
        <v>3</v>
      </c>
      <c r="J249" s="77">
        <f>SUM(D$247:D249)</f>
        <v>2.7750910332271275</v>
      </c>
      <c r="K249" s="44">
        <f t="shared" si="14"/>
        <v>3</v>
      </c>
      <c r="L249" s="77">
        <f>SUM(F$247:F249)</f>
        <v>2.9426766257965404</v>
      </c>
      <c r="M249" s="47">
        <f t="shared" si="15"/>
        <v>3.0324168994651792</v>
      </c>
    </row>
    <row r="250" spans="1:14" s="19" customFormat="1" hidden="1" x14ac:dyDescent="0.25">
      <c r="A250" s="24"/>
      <c r="B250" s="18"/>
      <c r="C250" s="156">
        <f t="shared" si="10"/>
        <v>4</v>
      </c>
      <c r="D250" s="46">
        <f t="shared" si="12"/>
        <v>0.85480419102972571</v>
      </c>
      <c r="E250" s="48">
        <f t="shared" si="11"/>
        <v>1.1255088099999999</v>
      </c>
      <c r="F250" s="46">
        <f t="shared" si="13"/>
        <v>0.96208964782887918</v>
      </c>
      <c r="G250" s="309">
        <f t="shared" si="16"/>
        <v>4</v>
      </c>
      <c r="J250" s="77">
        <f>SUM(D$247:D250)</f>
        <v>3.6298952242568534</v>
      </c>
      <c r="K250" s="44">
        <f t="shared" si="14"/>
        <v>4</v>
      </c>
      <c r="L250" s="77">
        <f>SUM(F$247:F250)</f>
        <v>3.9047662736254196</v>
      </c>
      <c r="M250" s="47">
        <f t="shared" si="15"/>
        <v>4.0854790542780135</v>
      </c>
    </row>
    <row r="251" spans="1:14" s="19" customFormat="1" hidden="1" x14ac:dyDescent="0.25">
      <c r="A251" s="24"/>
      <c r="B251" s="18"/>
      <c r="C251" s="156">
        <f t="shared" si="10"/>
        <v>5</v>
      </c>
      <c r="D251" s="46">
        <f t="shared" si="12"/>
        <v>0.82192710675935154</v>
      </c>
      <c r="E251" s="48">
        <f t="shared" si="11"/>
        <v>1.1592740742999998</v>
      </c>
      <c r="F251" s="46">
        <f t="shared" si="13"/>
        <v>0.95283878583052439</v>
      </c>
      <c r="G251" s="309">
        <f t="shared" si="16"/>
        <v>5</v>
      </c>
      <c r="J251" s="77">
        <f>SUM(D$247:D251)</f>
        <v>4.4518223310162046</v>
      </c>
      <c r="K251" s="44">
        <f t="shared" si="14"/>
        <v>5</v>
      </c>
      <c r="L251" s="77">
        <f>SUM(F$247:F251)</f>
        <v>4.8576050594559437</v>
      </c>
      <c r="M251" s="47">
        <f t="shared" si="15"/>
        <v>5.1608822117368778</v>
      </c>
    </row>
    <row r="252" spans="1:14" s="19" customFormat="1" hidden="1" x14ac:dyDescent="0.25">
      <c r="A252" s="24"/>
      <c r="B252" s="18"/>
      <c r="C252" s="156">
        <f t="shared" si="10"/>
        <v>6</v>
      </c>
      <c r="D252" s="46">
        <f t="shared" si="12"/>
        <v>0.79031452573014571</v>
      </c>
      <c r="E252" s="48">
        <f t="shared" si="11"/>
        <v>1.1940522965289999</v>
      </c>
      <c r="F252" s="46">
        <f t="shared" si="13"/>
        <v>0.94367687442830783</v>
      </c>
      <c r="G252" s="309">
        <f t="shared" si="16"/>
        <v>6</v>
      </c>
      <c r="J252" s="77">
        <f>SUM(D$247:D252)</f>
        <v>5.2421368567463507</v>
      </c>
      <c r="K252" s="44">
        <f t="shared" si="14"/>
        <v>6</v>
      </c>
      <c r="L252" s="77">
        <f>SUM(F$247:F252)</f>
        <v>5.8012819338842512</v>
      </c>
      <c r="M252" s="47">
        <f t="shared" si="15"/>
        <v>6.2593855525172932</v>
      </c>
    </row>
    <row r="253" spans="1:14" s="19" customFormat="1" hidden="1" x14ac:dyDescent="0.25">
      <c r="A253" s="24"/>
      <c r="B253" s="18"/>
      <c r="C253" s="156">
        <f t="shared" si="10"/>
        <v>7</v>
      </c>
      <c r="D253" s="46">
        <f t="shared" si="12"/>
        <v>0.75991781320206331</v>
      </c>
      <c r="E253" s="48">
        <f t="shared" si="11"/>
        <v>1.22987386542487</v>
      </c>
      <c r="F253" s="46">
        <f t="shared" si="13"/>
        <v>0.93460305832803592</v>
      </c>
      <c r="G253" s="309">
        <f t="shared" si="16"/>
        <v>7</v>
      </c>
      <c r="J253" s="77">
        <f>SUM(D$247:D253)</f>
        <v>6.0020546699484143</v>
      </c>
      <c r="K253" s="44">
        <f t="shared" si="14"/>
        <v>7</v>
      </c>
      <c r="L253" s="77">
        <f>SUM(F$247:F253)</f>
        <v>6.735884992212287</v>
      </c>
      <c r="M253" s="47">
        <f t="shared" si="15"/>
        <v>7.3817701774208482</v>
      </c>
    </row>
    <row r="254" spans="1:14" s="19" customFormat="1" hidden="1" x14ac:dyDescent="0.25">
      <c r="A254" s="24"/>
      <c r="B254" s="18"/>
      <c r="C254" s="156">
        <f t="shared" si="10"/>
        <v>8</v>
      </c>
      <c r="D254" s="46">
        <f t="shared" si="12"/>
        <v>0.73069020500198378</v>
      </c>
      <c r="E254" s="48">
        <f t="shared" si="11"/>
        <v>1.2667700813876159</v>
      </c>
      <c r="F254" s="46">
        <f t="shared" si="13"/>
        <v>0.92561649045949679</v>
      </c>
      <c r="G254" s="309">
        <f t="shared" si="16"/>
        <v>8</v>
      </c>
      <c r="J254" s="77">
        <f>SUM(D$247:D254)</f>
        <v>6.7327448749503978</v>
      </c>
      <c r="K254" s="44">
        <f t="shared" si="14"/>
        <v>8</v>
      </c>
      <c r="L254" s="77">
        <f>SUM(F$247:F254)</f>
        <v>7.6615014826717838</v>
      </c>
      <c r="M254" s="47">
        <f t="shared" si="15"/>
        <v>8.5288397732029697</v>
      </c>
    </row>
    <row r="255" spans="1:14" s="19" customFormat="1" hidden="1" x14ac:dyDescent="0.25">
      <c r="A255" s="24"/>
      <c r="B255" s="18"/>
      <c r="C255" s="156">
        <f t="shared" si="10"/>
        <v>9</v>
      </c>
      <c r="D255" s="46">
        <f t="shared" si="12"/>
        <v>0.70258673557883045</v>
      </c>
      <c r="E255" s="48">
        <f t="shared" si="11"/>
        <v>1.3047731838292445</v>
      </c>
      <c r="F255" s="46">
        <f t="shared" si="13"/>
        <v>0.91671633189738611</v>
      </c>
      <c r="G255" s="309">
        <f t="shared" si="16"/>
        <v>9</v>
      </c>
      <c r="J255" s="77">
        <f>SUM(D$247:D255)</f>
        <v>7.4353316105292286</v>
      </c>
      <c r="K255" s="44">
        <f t="shared" si="14"/>
        <v>9</v>
      </c>
      <c r="L255" s="77">
        <f>SUM(F$247:F255)</f>
        <v>8.5782178145691699</v>
      </c>
      <c r="M255" s="47">
        <f t="shared" si="15"/>
        <v>9.7014212982964452</v>
      </c>
    </row>
    <row r="256" spans="1:14" s="19" customFormat="1" hidden="1" x14ac:dyDescent="0.25">
      <c r="A256" s="24"/>
      <c r="B256" s="18"/>
      <c r="C256" s="156">
        <f t="shared" si="10"/>
        <v>10</v>
      </c>
      <c r="D256" s="46">
        <f t="shared" si="12"/>
        <v>0.67556416882579851</v>
      </c>
      <c r="E256" s="48">
        <f t="shared" si="11"/>
        <v>1.3439163793441218</v>
      </c>
      <c r="F256" s="46">
        <f t="shared" si="13"/>
        <v>0.90790175178298815</v>
      </c>
      <c r="G256" s="309">
        <f t="shared" si="16"/>
        <v>10</v>
      </c>
      <c r="J256" s="77">
        <f>SUM(D$247:D256)</f>
        <v>8.1108957793550278</v>
      </c>
      <c r="K256" s="44">
        <f t="shared" si="14"/>
        <v>10</v>
      </c>
      <c r="L256" s="77">
        <f>SUM(F$247:F256)</f>
        <v>9.4861195663521585</v>
      </c>
      <c r="M256" s="47">
        <f t="shared" si="15"/>
        <v>10.900365689028328</v>
      </c>
      <c r="N256" s="47">
        <f>1/0.045*(1-1/(1.045)^G256)</f>
        <v>7.9127181771101496</v>
      </c>
    </row>
    <row r="257" spans="1:14" s="19" customFormat="1" hidden="1" x14ac:dyDescent="0.25">
      <c r="A257" s="24"/>
      <c r="B257" s="18"/>
      <c r="C257" s="156">
        <f t="shared" si="10"/>
        <v>11</v>
      </c>
      <c r="D257" s="46">
        <f t="shared" si="12"/>
        <v>0.6495809315632679</v>
      </c>
      <c r="E257" s="48">
        <f t="shared" si="11"/>
        <v>1.3842338707244455</v>
      </c>
      <c r="F257" s="46">
        <f t="shared" si="13"/>
        <v>0.89917192724661343</v>
      </c>
      <c r="G257" s="309">
        <f t="shared" si="16"/>
        <v>11</v>
      </c>
      <c r="J257" s="77">
        <f>SUM(D$247:D257)</f>
        <v>8.7604767109182955</v>
      </c>
      <c r="K257" s="44">
        <f t="shared" si="14"/>
        <v>11</v>
      </c>
      <c r="L257" s="77">
        <f>SUM(F$247:F257)</f>
        <v>10.385291493598771</v>
      </c>
      <c r="M257" s="47">
        <f t="shared" si="15"/>
        <v>12.126548586945791</v>
      </c>
      <c r="N257" s="47"/>
    </row>
    <row r="258" spans="1:14" s="19" customFormat="1" hidden="1" x14ac:dyDescent="0.25">
      <c r="A258" s="24"/>
      <c r="B258" s="18"/>
      <c r="C258" s="156">
        <f t="shared" si="10"/>
        <v>12</v>
      </c>
      <c r="D258" s="46">
        <f t="shared" si="12"/>
        <v>0.62459704958006512</v>
      </c>
      <c r="E258" s="48">
        <f t="shared" si="11"/>
        <v>1.4257608868461786</v>
      </c>
      <c r="F258" s="46">
        <f t="shared" si="13"/>
        <v>0.89052604333078023</v>
      </c>
      <c r="G258" s="309">
        <f t="shared" si="16"/>
        <v>12</v>
      </c>
      <c r="J258" s="77">
        <f>SUM(D$247:D258)</f>
        <v>9.3850737604983614</v>
      </c>
      <c r="K258" s="44">
        <f t="shared" si="14"/>
        <v>12</v>
      </c>
      <c r="L258" s="77">
        <f>SUM(F$247:F258)</f>
        <v>11.275817536929551</v>
      </c>
      <c r="M258" s="47">
        <f t="shared" si="15"/>
        <v>13.380871087884945</v>
      </c>
      <c r="N258" s="47"/>
    </row>
    <row r="259" spans="1:14" s="19" customFormat="1" hidden="1" x14ac:dyDescent="0.25">
      <c r="A259" s="24"/>
      <c r="B259" s="18"/>
      <c r="C259" s="156">
        <f t="shared" si="10"/>
        <v>13</v>
      </c>
      <c r="D259" s="46">
        <f t="shared" si="12"/>
        <v>0.600574086134678</v>
      </c>
      <c r="E259" s="48">
        <f t="shared" si="11"/>
        <v>1.4685337134515639</v>
      </c>
      <c r="F259" s="46">
        <f t="shared" si="13"/>
        <v>0.88196329291413811</v>
      </c>
      <c r="G259" s="309">
        <f t="shared" si="16"/>
        <v>13</v>
      </c>
      <c r="J259" s="77">
        <f>SUM(D$247:D259)</f>
        <v>9.9856478466330394</v>
      </c>
      <c r="K259" s="44">
        <f t="shared" si="14"/>
        <v>13</v>
      </c>
      <c r="L259" s="77">
        <f>SUM(F$247:F259)</f>
        <v>12.15778082984369</v>
      </c>
      <c r="M259" s="47">
        <f t="shared" si="15"/>
        <v>14.664260513435631</v>
      </c>
      <c r="N259" s="47"/>
    </row>
    <row r="260" spans="1:14" s="19" customFormat="1" hidden="1" x14ac:dyDescent="0.25">
      <c r="A260" s="24"/>
      <c r="B260" s="18"/>
      <c r="C260" s="156">
        <f t="shared" si="10"/>
        <v>14</v>
      </c>
      <c r="D260" s="46">
        <f t="shared" si="12"/>
        <v>0.57747508282180582</v>
      </c>
      <c r="E260" s="48">
        <f t="shared" si="11"/>
        <v>1.512589724855111</v>
      </c>
      <c r="F260" s="46">
        <f t="shared" si="13"/>
        <v>0.87348287663611768</v>
      </c>
      <c r="G260" s="309">
        <f t="shared" si="16"/>
        <v>14</v>
      </c>
      <c r="J260" s="77">
        <f>SUM(D$247:D260)</f>
        <v>10.563122929454845</v>
      </c>
      <c r="K260" s="44">
        <f t="shared" si="14"/>
        <v>14</v>
      </c>
      <c r="L260" s="77">
        <f>SUM(F$247:F260)</f>
        <v>13.031263706479807</v>
      </c>
      <c r="M260" s="47">
        <f t="shared" si="15"/>
        <v>15.977671205474818</v>
      </c>
      <c r="N260" s="47"/>
    </row>
    <row r="261" spans="1:14" s="19" customFormat="1" hidden="1" x14ac:dyDescent="0.25">
      <c r="A261" s="24"/>
      <c r="B261" s="18"/>
      <c r="C261" s="156">
        <f t="shared" si="10"/>
        <v>15</v>
      </c>
      <c r="D261" s="46">
        <f t="shared" si="12"/>
        <v>0.55526450271327477</v>
      </c>
      <c r="E261" s="48">
        <f t="shared" si="11"/>
        <v>1.5579674166007644</v>
      </c>
      <c r="F261" s="46">
        <f t="shared" si="13"/>
        <v>0.8650840028223088</v>
      </c>
      <c r="G261" s="309">
        <f t="shared" si="16"/>
        <v>15</v>
      </c>
      <c r="J261" s="77">
        <f>SUM(D$247:D261)</f>
        <v>11.11838743216812</v>
      </c>
      <c r="K261" s="44">
        <f t="shared" si="14"/>
        <v>15</v>
      </c>
      <c r="L261" s="77">
        <f>SUM(F$247:F261)</f>
        <v>13.896347709302116</v>
      </c>
      <c r="M261" s="47">
        <f t="shared" si="15"/>
        <v>17.322085344461374</v>
      </c>
      <c r="N261" s="47"/>
    </row>
    <row r="262" spans="1:14" s="19" customFormat="1" hidden="1" x14ac:dyDescent="0.25">
      <c r="A262" s="24"/>
      <c r="B262" s="18"/>
      <c r="C262" s="156">
        <f t="shared" si="10"/>
        <v>16</v>
      </c>
      <c r="D262" s="46">
        <f t="shared" si="12"/>
        <v>0.53390817568584104</v>
      </c>
      <c r="E262" s="48">
        <f t="shared" si="11"/>
        <v>1.6047064390987871</v>
      </c>
      <c r="F262" s="46">
        <f t="shared" si="13"/>
        <v>0.85676588741055559</v>
      </c>
      <c r="G262" s="309">
        <f t="shared" si="16"/>
        <v>16</v>
      </c>
      <c r="J262" s="77">
        <f>SUM(D$247:D262)</f>
        <v>11.652295607853961</v>
      </c>
      <c r="K262" s="44">
        <f t="shared" si="14"/>
        <v>16</v>
      </c>
      <c r="L262" s="77">
        <f>SUM(F$247:F262)</f>
        <v>14.753113596712671</v>
      </c>
      <c r="M262" s="47">
        <f t="shared" si="15"/>
        <v>18.698513792205766</v>
      </c>
      <c r="N262" s="47"/>
    </row>
    <row r="263" spans="1:14" s="19" customFormat="1" hidden="1" x14ac:dyDescent="0.25">
      <c r="A263" s="24"/>
      <c r="B263" s="18"/>
      <c r="C263" s="156">
        <f t="shared" si="10"/>
        <v>17</v>
      </c>
      <c r="D263" s="46">
        <f t="shared" si="12"/>
        <v>0.51337324585177024</v>
      </c>
      <c r="E263" s="48">
        <f t="shared" si="11"/>
        <v>1.6528476322717507</v>
      </c>
      <c r="F263" s="46">
        <f t="shared" si="13"/>
        <v>0.8485277538777618</v>
      </c>
      <c r="G263" s="309">
        <f t="shared" si="16"/>
        <v>17</v>
      </c>
      <c r="J263" s="77">
        <f>SUM(D$247:D263)</f>
        <v>12.165668853705732</v>
      </c>
      <c r="K263" s="44">
        <f t="shared" si="14"/>
        <v>17</v>
      </c>
      <c r="L263" s="77">
        <f>SUM(F$247:F263)</f>
        <v>15.601641350590434</v>
      </c>
      <c r="M263" s="47">
        <f t="shared" si="15"/>
        <v>20.107996959849704</v>
      </c>
      <c r="N263" s="47"/>
    </row>
    <row r="264" spans="1:14" s="19" customFormat="1" hidden="1" x14ac:dyDescent="0.25">
      <c r="A264" s="24"/>
      <c r="B264" s="18"/>
      <c r="C264" s="156">
        <f t="shared" si="10"/>
        <v>18</v>
      </c>
      <c r="D264" s="46">
        <f t="shared" si="12"/>
        <v>0.49362812101131748</v>
      </c>
      <c r="E264" s="48">
        <f t="shared" si="11"/>
        <v>1.7024330612399032</v>
      </c>
      <c r="F264" s="46">
        <f t="shared" si="13"/>
        <v>0.84036883316739863</v>
      </c>
      <c r="G264" s="309">
        <f t="shared" si="16"/>
        <v>18</v>
      </c>
      <c r="J264" s="77">
        <f>SUM(D$247:D264)</f>
        <v>12.65929697471705</v>
      </c>
      <c r="K264" s="44">
        <f t="shared" si="14"/>
        <v>18</v>
      </c>
      <c r="L264" s="77">
        <f>SUM(F$247:F264)</f>
        <v>16.442010183757834</v>
      </c>
      <c r="M264" s="47">
        <f t="shared" si="15"/>
        <v>21.551605701812594</v>
      </c>
      <c r="N264" s="47"/>
    </row>
    <row r="265" spans="1:14" s="19" customFormat="1" hidden="1" x14ac:dyDescent="0.25">
      <c r="A265" s="24"/>
      <c r="B265" s="18"/>
      <c r="C265" s="156">
        <f t="shared" si="10"/>
        <v>19</v>
      </c>
      <c r="D265" s="46">
        <f t="shared" si="12"/>
        <v>0.47464242404934376</v>
      </c>
      <c r="E265" s="48">
        <f t="shared" si="11"/>
        <v>1.7535060530771003</v>
      </c>
      <c r="F265" s="46">
        <f t="shared" si="13"/>
        <v>0.83228836361771208</v>
      </c>
      <c r="G265" s="309">
        <f t="shared" si="16"/>
        <v>19</v>
      </c>
      <c r="J265" s="77">
        <f>SUM(D$247:D265)</f>
        <v>13.133939398766394</v>
      </c>
      <c r="K265" s="44">
        <f t="shared" si="14"/>
        <v>19</v>
      </c>
      <c r="L265" s="77">
        <f>SUM(F$247:F265)</f>
        <v>17.274298547375544</v>
      </c>
      <c r="M265" s="47">
        <f t="shared" si="15"/>
        <v>23.030442236484681</v>
      </c>
      <c r="N265" s="47"/>
    </row>
    <row r="266" spans="1:14" s="19" customFormat="1" hidden="1" x14ac:dyDescent="0.25">
      <c r="A266" s="24"/>
      <c r="B266" s="18"/>
      <c r="C266" s="156">
        <f t="shared" si="10"/>
        <v>20</v>
      </c>
      <c r="D266" s="46">
        <f t="shared" si="12"/>
        <v>0.45638694620129205</v>
      </c>
      <c r="E266" s="48">
        <f t="shared" si="11"/>
        <v>1.8061112346694133</v>
      </c>
      <c r="F266" s="46">
        <f t="shared" si="13"/>
        <v>0.8242855908906187</v>
      </c>
      <c r="G266" s="309">
        <f t="shared" si="16"/>
        <v>20</v>
      </c>
      <c r="J266" s="77">
        <f>SUM(D$247:D266)</f>
        <v>13.590326344967686</v>
      </c>
      <c r="K266" s="44">
        <f t="shared" si="14"/>
        <v>20</v>
      </c>
      <c r="L266" s="77">
        <f>SUM(F$247:F266)</f>
        <v>18.098584138266162</v>
      </c>
      <c r="M266" s="47">
        <f t="shared" si="15"/>
        <v>24.54564109446984</v>
      </c>
      <c r="N266" s="47"/>
    </row>
    <row r="267" spans="1:14" s="19" customFormat="1" hidden="1" x14ac:dyDescent="0.25">
      <c r="A267" s="24"/>
      <c r="B267" s="18"/>
      <c r="C267" s="156">
        <f t="shared" si="10"/>
        <v>21</v>
      </c>
      <c r="D267" s="46">
        <f t="shared" si="12"/>
        <v>0.43883360211662686</v>
      </c>
      <c r="E267" s="48">
        <f t="shared" si="11"/>
        <v>1.8602945717094954</v>
      </c>
      <c r="F267" s="46">
        <f t="shared" si="13"/>
        <v>0.8163597679012855</v>
      </c>
      <c r="G267" s="309">
        <f t="shared" si="16"/>
        <v>21</v>
      </c>
      <c r="J267" s="77">
        <f>SUM(D$247:D267)</f>
        <v>14.029159947084313</v>
      </c>
      <c r="K267" s="44">
        <f t="shared" si="14"/>
        <v>21</v>
      </c>
      <c r="L267" s="77">
        <f>SUM(F$247:F267)</f>
        <v>18.914943906167448</v>
      </c>
      <c r="M267" s="47">
        <f t="shared" si="15"/>
        <v>26.098370095205219</v>
      </c>
      <c r="N267" s="47"/>
    </row>
    <row r="268" spans="1:14" s="19" customFormat="1" hidden="1" x14ac:dyDescent="0.25">
      <c r="A268" s="24"/>
      <c r="B268" s="18"/>
      <c r="C268" s="156">
        <f t="shared" si="10"/>
        <v>22</v>
      </c>
      <c r="D268" s="46">
        <f t="shared" si="12"/>
        <v>0.42195538665060278</v>
      </c>
      <c r="E268" s="48">
        <f t="shared" si="11"/>
        <v>1.9161034088607805</v>
      </c>
      <c r="F268" s="46">
        <f t="shared" si="13"/>
        <v>0.80851015474838861</v>
      </c>
      <c r="G268" s="309">
        <f t="shared" si="16"/>
        <v>22</v>
      </c>
      <c r="J268" s="77">
        <f>SUM(D$247:D268)</f>
        <v>14.451115333734917</v>
      </c>
      <c r="K268" s="44">
        <f t="shared" si="14"/>
        <v>22</v>
      </c>
      <c r="L268" s="77">
        <f>SUM(F$247:F268)</f>
        <v>19.723454060915838</v>
      </c>
      <c r="M268" s="47">
        <f t="shared" si="15"/>
        <v>27.689831352809769</v>
      </c>
      <c r="N268" s="47"/>
    </row>
    <row r="269" spans="1:14" s="19" customFormat="1" hidden="1" x14ac:dyDescent="0.25">
      <c r="A269" s="24"/>
      <c r="B269" s="18"/>
      <c r="C269" s="156">
        <f t="shared" si="10"/>
        <v>23</v>
      </c>
      <c r="D269" s="46">
        <f t="shared" si="12"/>
        <v>0.40572633331788732</v>
      </c>
      <c r="E269" s="48">
        <f t="shared" si="11"/>
        <v>1.973586511126604</v>
      </c>
      <c r="F269" s="46">
        <f t="shared" si="13"/>
        <v>0.80073601864503885</v>
      </c>
      <c r="G269" s="309">
        <f t="shared" si="16"/>
        <v>23</v>
      </c>
      <c r="J269" s="77">
        <f>SUM(D$247:D269)</f>
        <v>14.856841667052803</v>
      </c>
      <c r="K269" s="44">
        <f t="shared" si="14"/>
        <v>23</v>
      </c>
      <c r="L269" s="77">
        <f>SUM(F$247:F269)</f>
        <v>20.524190079560878</v>
      </c>
      <c r="M269" s="47">
        <f t="shared" si="15"/>
        <v>29.321262312039103</v>
      </c>
      <c r="N269" s="47"/>
    </row>
    <row r="270" spans="1:14" s="19" customFormat="1" hidden="1" x14ac:dyDescent="0.25">
      <c r="A270" s="24"/>
      <c r="B270" s="18"/>
      <c r="C270" s="156">
        <f t="shared" si="10"/>
        <v>24</v>
      </c>
      <c r="D270" s="46">
        <f t="shared" si="12"/>
        <v>0.39012147434412242</v>
      </c>
      <c r="E270" s="48">
        <f t="shared" si="11"/>
        <v>2.0327941064604018</v>
      </c>
      <c r="F270" s="46">
        <f t="shared" si="13"/>
        <v>0.79303663385037493</v>
      </c>
      <c r="G270" s="309">
        <f t="shared" si="16"/>
        <v>24</v>
      </c>
      <c r="J270" s="77">
        <f>SUM(D$247:D270)</f>
        <v>15.246963141396925</v>
      </c>
      <c r="K270" s="44">
        <f t="shared" si="14"/>
        <v>24</v>
      </c>
      <c r="L270" s="77">
        <f>SUM(F$247:F270)</f>
        <v>21.317226713411252</v>
      </c>
      <c r="M270" s="47">
        <f t="shared" si="15"/>
        <v>30.993936815250645</v>
      </c>
      <c r="N270" s="47"/>
    </row>
    <row r="271" spans="1:14" s="19" customFormat="1" hidden="1" x14ac:dyDescent="0.25">
      <c r="A271" s="24"/>
      <c r="B271" s="18"/>
      <c r="C271" s="156">
        <f t="shared" si="10"/>
        <v>25</v>
      </c>
      <c r="D271" s="46">
        <f t="shared" si="12"/>
        <v>0.37511680225396377</v>
      </c>
      <c r="E271" s="48">
        <f t="shared" si="11"/>
        <v>2.0937779296542138</v>
      </c>
      <c r="F271" s="46">
        <f t="shared" si="13"/>
        <v>0.78541128160181339</v>
      </c>
      <c r="G271" s="309">
        <f t="shared" si="16"/>
        <v>25</v>
      </c>
      <c r="J271" s="77">
        <f>SUM(D$247:D271)</f>
        <v>15.622079943650888</v>
      </c>
      <c r="K271" s="44">
        <f t="shared" si="14"/>
        <v>25</v>
      </c>
      <c r="L271" s="77">
        <f>SUM(F$247:F271)</f>
        <v>22.102637995013065</v>
      </c>
      <c r="M271" s="47">
        <f t="shared" si="15"/>
        <v>32.709166201309976</v>
      </c>
      <c r="N271" s="47">
        <f>1/0.045*(1-1/(1.045)^G271)</f>
        <v>14.828208962712639</v>
      </c>
    </row>
    <row r="272" spans="1:14" s="19" customFormat="1" hidden="1" x14ac:dyDescent="0.25">
      <c r="A272" s="24"/>
      <c r="B272" s="18"/>
      <c r="C272" s="18"/>
      <c r="G272" s="61"/>
      <c r="H272" s="32"/>
      <c r="J272" s="23"/>
      <c r="K272" s="23"/>
    </row>
    <row r="273" spans="1:11" s="19" customFormat="1" hidden="1" x14ac:dyDescent="0.25">
      <c r="A273" s="147"/>
      <c r="B273" s="147"/>
      <c r="C273" s="18"/>
      <c r="G273" s="57"/>
      <c r="H273" s="32"/>
      <c r="J273" s="23"/>
      <c r="K273" s="23"/>
    </row>
    <row r="274" spans="1:11" s="19" customFormat="1" hidden="1" x14ac:dyDescent="0.25">
      <c r="A274" s="147"/>
      <c r="B274" s="147"/>
      <c r="C274" s="18"/>
      <c r="G274" s="57"/>
      <c r="H274" s="32"/>
      <c r="J274" s="23"/>
      <c r="K274" s="23"/>
    </row>
    <row r="275" spans="1:11" s="19" customFormat="1" hidden="1" x14ac:dyDescent="0.25">
      <c r="A275" s="147"/>
      <c r="B275" s="147"/>
      <c r="C275" s="18"/>
      <c r="G275" s="57"/>
      <c r="H275" s="32"/>
      <c r="J275" s="23"/>
      <c r="K275" s="23"/>
    </row>
    <row r="276" spans="1:11" s="19" customFormat="1" hidden="1" x14ac:dyDescent="0.25">
      <c r="A276" s="147"/>
      <c r="B276" s="147"/>
      <c r="C276" s="18"/>
      <c r="G276" s="57"/>
      <c r="H276" s="32"/>
      <c r="J276" s="23"/>
      <c r="K276" s="23"/>
    </row>
    <row r="277" spans="1:11" s="19" customFormat="1" hidden="1" x14ac:dyDescent="0.25">
      <c r="A277" s="147"/>
      <c r="B277" s="147"/>
      <c r="C277" s="18"/>
      <c r="G277" s="57"/>
      <c r="H277" s="32"/>
      <c r="J277" s="23"/>
      <c r="K277" s="23"/>
    </row>
    <row r="278" spans="1:11" s="19" customFormat="1" hidden="1" x14ac:dyDescent="0.25">
      <c r="A278" s="147"/>
      <c r="B278" s="147"/>
      <c r="C278" s="18"/>
      <c r="G278" s="57"/>
      <c r="H278" s="32"/>
      <c r="J278" s="23"/>
      <c r="K278" s="23"/>
    </row>
    <row r="279" spans="1:11" hidden="1" x14ac:dyDescent="0.25"/>
    <row r="280" spans="1:11" hidden="1" x14ac:dyDescent="0.25"/>
  </sheetData>
  <sheetProtection algorithmName="SHA-512" hashValue="Wlo7x//H7Bb7mJOwicx/3wsDH5qLJBsjjz8UubnxheGxEtmSP3MPq2eMdX998CksS0uBHiB5wrKOCTv0zynCZA==" saltValue="DzX9I3xfRU3svTfKfyyP2g==" spinCount="100000" sheet="1" objects="1" scenarios="1"/>
  <mergeCells count="36">
    <mergeCell ref="D237:E237"/>
    <mergeCell ref="D238:E238"/>
    <mergeCell ref="D239:E239"/>
    <mergeCell ref="D240:E240"/>
    <mergeCell ref="D231:E231"/>
    <mergeCell ref="D230:E230"/>
    <mergeCell ref="H109:H111"/>
    <mergeCell ref="H113:H116"/>
    <mergeCell ref="H121:H123"/>
    <mergeCell ref="H143:H146"/>
    <mergeCell ref="H148:H150"/>
    <mergeCell ref="C160:I160"/>
    <mergeCell ref="A168:C168"/>
    <mergeCell ref="A170:C170"/>
    <mergeCell ref="C185:H185"/>
    <mergeCell ref="D228:E228"/>
    <mergeCell ref="D229:E229"/>
    <mergeCell ref="H104:H107"/>
    <mergeCell ref="D94:H94"/>
    <mergeCell ref="D44:F44"/>
    <mergeCell ref="E45:F45"/>
    <mergeCell ref="H58:H61"/>
    <mergeCell ref="C2:H2"/>
    <mergeCell ref="H39:H42"/>
    <mergeCell ref="H53:H55"/>
    <mergeCell ref="H69:H80"/>
    <mergeCell ref="H96:H98"/>
    <mergeCell ref="G17:H17"/>
    <mergeCell ref="C4:H4"/>
    <mergeCell ref="C7:H7"/>
    <mergeCell ref="D8:H8"/>
    <mergeCell ref="D9:H9"/>
    <mergeCell ref="D10:H10"/>
    <mergeCell ref="C13:H13"/>
    <mergeCell ref="G15:H15"/>
    <mergeCell ref="G16:H16"/>
  </mergeCells>
  <conditionalFormatting sqref="D38">
    <cfRule type="expression" dxfId="6" priority="1">
      <formula>#REF!="Norge"</formula>
    </cfRule>
  </conditionalFormatting>
  <dataValidations count="17">
    <dataValidation type="custom" allowBlank="1" showInputMessage="1" showErrorMessage="1" sqref="D53">
      <formula1>IF(SUM(D$53:D$55)&gt;100,FALSE,TRUE)</formula1>
    </dataValidation>
    <dataValidation type="custom" allowBlank="1" showInputMessage="1" showErrorMessage="1" promptTitle="Standard: 0" prompt="(en annen verdi kan oppgis)" sqref="D54:D55">
      <formula1>IF(SUM(D$53:D$55)&gt;100,FALSE,TRUE)</formula1>
    </dataValidation>
    <dataValidation type="custom" allowBlank="1" showInputMessage="1" showErrorMessage="1" errorTitle="For mange i kø/tett trafikk" error="Summen av andelene i kø/tett trafikk kan ikke være større enn 100." sqref="D69:E70 D188:D189">
      <formula1>IF(D$71&lt;0,FALSE,TRUE)</formula1>
    </dataValidation>
    <dataValidation type="custom" allowBlank="1" showInputMessage="1" showErrorMessage="1" errorTitle="For mange i kø/tett trafikk" error="Summen av andelene i kø/tett trafikk kan ikke være større enn 100." sqref="D73:E74">
      <formula1>IF(D$75&lt;0,FALSE,TRUE)</formula1>
    </dataValidation>
    <dataValidation type="custom" allowBlank="1" showInputMessage="1" showErrorMessage="1" errorTitle="For mange i kø/tett trafikk" error="Summen av andelene i kø/tett trafikk kan ikke være større enn 100." sqref="D77:E78">
      <formula1>IF(D$79&lt;0,FALSE,TRUE)</formula1>
    </dataValidation>
    <dataValidation allowBlank="1" showInputMessage="1" showErrorMessage="1" prompt="Hvis tiltaket har en analyseperiode på under ett år må summen av alle påløpende kostnader oppgis under installasjon (ingen kostnader under årlig drift)." sqref="D41:F42"/>
    <dataValidation allowBlank="1" showInputMessage="1" showErrorMessage="1" promptTitle="Tiltak A" prompt="Beskrivelse av informasjon som vises med tiltak A" sqref="D8:H8"/>
    <dataValidation allowBlank="1" showInputMessage="1" showErrorMessage="1" promptTitle="Tiltak B" prompt="Beskrivelse av informasjon som vises med tiltak B (valgfri)" sqref="D9:H10"/>
    <dataValidation allowBlank="1" showInputMessage="1" showErrorMessage="1" promptTitle="Beskrivelse av tiltaket" prompt="Her kan man for eksempel skrive mer om de enkelte tiltaksvariantene, f.eks. hvorfor enkelte nyttekomponenter er utelatt fra analysene." sqref="G15:H17"/>
    <dataValidation allowBlank="1" showInputMessage="1" showErrorMessage="1" promptTitle="Trafikkmengde på motor-/hovedveg" prompt="Hvis A/B/C er tilfartskontroll på tre påkjøringsramper må summen av trafikkmengden på motor-/hovedvegen ved de tre rampene oppgis" sqref="D47"/>
    <dataValidation allowBlank="1" showInputMessage="1" showErrorMessage="1" promptTitle="Strekningslengde motor-/hovedveg" prompt="Hvis A/B/C er tilfartskontroll på tre påkjøringsramper må summen av strekningene på motor-/hovedvegen ved de tre rampene hvor trafikken antas å være påvirket, oppgis." sqref="D46"/>
    <dataValidation type="list" showInputMessage="1" errorTitle="Feil verdi" error="Analyseperioden må være mellom 0 og 25 år" promptTitle="Standard: 10 år" prompt="Mellom 0 og 25 år._x000a_Kan f.eks. settes til 0,25 hvis tiltaket skal brukes i 3 måneder (f.eks. i vegarbeidsområde)." sqref="D34">
      <formula1>$J$34:$J$35</formula1>
    </dataValidation>
    <dataValidation type="list" allowBlank="1" showInputMessage="1" showErrorMessage="1" promptTitle="Standard: Ja" prompt="Ja hvis nytten skal være med,_x000a_Kan settes til Nei hvis nyttekomponenten ikke skal være med i nyttekostnadsberegningene." sqref="D15:F15">
      <formula1>$J$15:$J$16</formula1>
    </dataValidation>
    <dataValidation type="list" allowBlank="1" showInputMessage="1" showErrorMessage="1" promptTitle="Standard: Nei" prompt="Som standard skal tiltak B/C ikke spesifiseres og ikke være med i beregningen av den samlede samfunnsøkonoimske nytten._x000a_Tiltak B/C kan være med (velg &quot;Ja&quot;) hvis det foreligger godt grunnlag for å estimere virkningen." sqref="D16:F17">
      <formula1>$J$15:$J$16</formula1>
    </dataValidation>
    <dataValidation allowBlank="1" showInputMessage="1" showErrorMessage="1" promptTitle="Beskrivelse av tiltaket" prompt="Her kan man for eksempel beskrive tiltaket og de viktigste beregningsforutsetningene, legge inn kommentarer, …" sqref="C4:H4"/>
    <dataValidation type="list" allowBlank="1" showInputMessage="1" showErrorMessage="1" sqref="E45:F45">
      <formula1>$J$45:$J$47</formula1>
    </dataValidation>
    <dataValidation allowBlank="1" showInputMessage="1" showErrorMessage="1" promptTitle="Hva heter tiltaket?" prompt="Her kan man skrive inn hva tiltaket heter." sqref="E1:G1 C2:H2"/>
  </dataValidations>
  <pageMargins left="0.70866141732283472" right="0.39370078740157483" top="0.78740157480314965" bottom="0.78740157480314965" header="0.31496062992125984" footer="0.31496062992125984"/>
  <pageSetup paperSize="9" scale="78" fitToHeight="0" orientation="landscape" r:id="rId1"/>
  <headerFooter>
    <oddFooter>&amp;LITS-Virkningsberegninger
TØI-Rapport 1289/2013&amp;C&amp;"-,Fet"&amp;12&amp;A&amp;RSide &amp;P</oddFooter>
  </headerFooter>
  <rowBreaks count="6" manualBreakCount="6">
    <brk id="32" max="16383" man="1"/>
    <brk id="67" max="16383" man="1"/>
    <brk id="80" max="16383" man="1"/>
    <brk id="157" max="16383" man="1"/>
    <brk id="173" max="16383" man="1"/>
    <brk id="222" max="16383" man="1"/>
  </rowBreaks>
  <colBreaks count="2" manualBreakCount="2">
    <brk id="1" max="1048575" man="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'Data-beregninger'!$B$25:$B$34</xm:f>
          </x14:formula1>
          <xm:sqref>D44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tabColor rgb="FF00B050"/>
    <pageSetUpPr fitToPage="1"/>
  </sheetPr>
  <dimension ref="A1:S245"/>
  <sheetViews>
    <sheetView showGridLines="0" zoomScaleNormal="100" workbookViewId="0">
      <pane ySplit="1" topLeftCell="A2" activePane="bottomLeft" state="frozen"/>
      <selection sqref="A1:E1"/>
      <selection pane="bottomLeft" sqref="A1:E1"/>
    </sheetView>
  </sheetViews>
  <sheetFormatPr baseColWidth="10" defaultColWidth="0" defaultRowHeight="15" zeroHeight="1" x14ac:dyDescent="0.25"/>
  <cols>
    <col min="1" max="1" width="3.85546875" style="147" customWidth="1"/>
    <col min="2" max="2" width="1.28515625" style="147" customWidth="1"/>
    <col min="3" max="3" width="27.140625" style="18" customWidth="1"/>
    <col min="4" max="6" width="11.5703125" style="19" customWidth="1"/>
    <col min="7" max="7" width="5.5703125" style="53" customWidth="1"/>
    <col min="8" max="8" width="97.85546875" style="18" customWidth="1"/>
    <col min="9" max="9" width="1.28515625" style="19" customWidth="1"/>
    <col min="10" max="10" width="12.5703125" style="272" hidden="1" customWidth="1"/>
    <col min="11" max="11" width="12.85546875" style="272" hidden="1" customWidth="1"/>
    <col min="12" max="18" width="11.42578125" style="273" hidden="1" customWidth="1"/>
    <col min="19" max="16384" width="11.42578125" style="18" hidden="1"/>
  </cols>
  <sheetData>
    <row r="1" spans="1:18" s="208" customFormat="1" ht="21" customHeight="1" x14ac:dyDescent="0.25">
      <c r="A1" s="859" t="s">
        <v>1003</v>
      </c>
      <c r="B1" s="813"/>
      <c r="C1" s="813"/>
      <c r="D1" s="813"/>
      <c r="E1" s="813"/>
      <c r="F1" s="815"/>
      <c r="G1" s="860"/>
      <c r="H1" s="860"/>
      <c r="I1" s="20"/>
      <c r="J1" s="271" t="s">
        <v>57</v>
      </c>
      <c r="K1" s="272"/>
      <c r="L1" s="273"/>
      <c r="M1" s="273"/>
      <c r="N1" s="273"/>
      <c r="O1" s="273"/>
      <c r="P1" s="272"/>
      <c r="Q1" s="272"/>
      <c r="R1" s="272"/>
    </row>
    <row r="2" spans="1:18" s="208" customFormat="1" ht="18.75" x14ac:dyDescent="0.25">
      <c r="A2" s="144" t="s">
        <v>118</v>
      </c>
      <c r="B2" s="145"/>
      <c r="C2" s="18"/>
      <c r="D2" s="20"/>
      <c r="E2" s="20"/>
      <c r="F2" s="20"/>
      <c r="G2" s="53"/>
      <c r="H2" s="21"/>
      <c r="I2" s="20"/>
      <c r="J2" s="272"/>
      <c r="K2" s="272"/>
      <c r="L2" s="273"/>
      <c r="M2" s="273"/>
      <c r="N2" s="273"/>
      <c r="O2" s="273"/>
      <c r="P2" s="272"/>
      <c r="Q2" s="272"/>
      <c r="R2" s="272"/>
    </row>
    <row r="3" spans="1:18" s="208" customFormat="1" ht="87.75" customHeight="1" x14ac:dyDescent="0.25">
      <c r="A3" s="24"/>
      <c r="B3" s="146"/>
      <c r="C3" s="815"/>
      <c r="D3" s="815"/>
      <c r="E3" s="815"/>
      <c r="F3" s="815"/>
      <c r="G3" s="816"/>
      <c r="H3" s="815"/>
      <c r="I3" s="20"/>
      <c r="J3" s="271" t="s">
        <v>57</v>
      </c>
      <c r="K3" s="272"/>
      <c r="L3" s="273"/>
      <c r="M3" s="273"/>
      <c r="N3" s="273"/>
      <c r="O3" s="273"/>
      <c r="P3" s="272"/>
      <c r="Q3" s="272"/>
      <c r="R3" s="272"/>
    </row>
    <row r="4" spans="1:18" ht="4.5" customHeight="1" x14ac:dyDescent="0.25">
      <c r="A4" s="24"/>
      <c r="B4" s="146"/>
      <c r="C4" s="176"/>
      <c r="D4" s="176"/>
      <c r="E4" s="176"/>
      <c r="F4" s="176"/>
      <c r="G4" s="303"/>
      <c r="H4" s="176"/>
      <c r="I4" s="18"/>
      <c r="J4" s="274"/>
      <c r="K4" s="275"/>
      <c r="L4" s="276"/>
    </row>
    <row r="5" spans="1:18" s="208" customFormat="1" ht="18.75" x14ac:dyDescent="0.25">
      <c r="A5" s="144" t="s">
        <v>96</v>
      </c>
      <c r="B5" s="145"/>
      <c r="C5" s="24"/>
      <c r="D5" s="20"/>
      <c r="E5" s="18"/>
      <c r="F5" s="18"/>
      <c r="G5" s="303"/>
      <c r="H5" s="21"/>
      <c r="I5" s="20"/>
      <c r="J5" s="272"/>
      <c r="K5" s="272"/>
      <c r="L5" s="273"/>
      <c r="M5" s="273"/>
      <c r="N5" s="273"/>
      <c r="O5" s="273"/>
      <c r="P5" s="272"/>
      <c r="Q5" s="272"/>
      <c r="R5" s="272"/>
    </row>
    <row r="6" spans="1:18" s="208" customFormat="1" ht="30" customHeight="1" x14ac:dyDescent="0.25">
      <c r="A6" s="147"/>
      <c r="B6" s="147"/>
      <c r="C6" s="813" t="s">
        <v>771</v>
      </c>
      <c r="D6" s="812"/>
      <c r="E6" s="812"/>
      <c r="F6" s="812"/>
      <c r="G6" s="817"/>
      <c r="H6" s="812"/>
      <c r="I6" s="18"/>
      <c r="J6" s="273"/>
      <c r="K6" s="272"/>
      <c r="L6" s="273"/>
      <c r="M6" s="273"/>
      <c r="N6" s="273"/>
      <c r="O6" s="273"/>
      <c r="P6" s="272"/>
      <c r="Q6" s="272"/>
      <c r="R6" s="272"/>
    </row>
    <row r="7" spans="1:18" s="208" customFormat="1" ht="15" customHeight="1" x14ac:dyDescent="0.25">
      <c r="A7" s="147"/>
      <c r="B7" s="147"/>
      <c r="C7" s="24" t="s">
        <v>135</v>
      </c>
      <c r="D7" s="818" t="s">
        <v>17</v>
      </c>
      <c r="E7" s="819"/>
      <c r="F7" s="819"/>
      <c r="G7" s="819"/>
      <c r="H7" s="819"/>
      <c r="I7" s="18"/>
      <c r="J7" s="273"/>
      <c r="K7" s="272"/>
      <c r="L7" s="273"/>
      <c r="M7" s="273"/>
      <c r="N7" s="273"/>
      <c r="O7" s="273"/>
      <c r="P7" s="272"/>
      <c r="Q7" s="272"/>
      <c r="R7" s="272"/>
    </row>
    <row r="8" spans="1:18" s="208" customFormat="1" ht="15" customHeight="1" x14ac:dyDescent="0.25">
      <c r="A8" s="147"/>
      <c r="B8" s="147"/>
      <c r="C8" s="24" t="s">
        <v>136</v>
      </c>
      <c r="D8" s="818"/>
      <c r="E8" s="819"/>
      <c r="F8" s="819"/>
      <c r="G8" s="819"/>
      <c r="H8" s="819"/>
      <c r="I8" s="18"/>
      <c r="J8" s="273"/>
      <c r="K8" s="272"/>
      <c r="L8" s="273"/>
      <c r="M8" s="273"/>
      <c r="N8" s="273"/>
      <c r="O8" s="273"/>
      <c r="P8" s="272"/>
      <c r="Q8" s="272"/>
      <c r="R8" s="272"/>
    </row>
    <row r="9" spans="1:18" s="208" customFormat="1" ht="15" customHeight="1" x14ac:dyDescent="0.25">
      <c r="A9" s="147"/>
      <c r="B9" s="147"/>
      <c r="C9" s="24" t="s">
        <v>137</v>
      </c>
      <c r="D9" s="818"/>
      <c r="E9" s="819"/>
      <c r="F9" s="819"/>
      <c r="G9" s="819"/>
      <c r="H9" s="819"/>
      <c r="I9" s="18"/>
      <c r="J9" s="273"/>
      <c r="K9" s="272"/>
      <c r="L9" s="273"/>
      <c r="M9" s="273"/>
      <c r="N9" s="273"/>
      <c r="O9" s="273"/>
      <c r="P9" s="272"/>
      <c r="Q9" s="272"/>
      <c r="R9" s="272"/>
    </row>
    <row r="10" spans="1:18" s="208" customFormat="1" ht="5.0999999999999996" customHeight="1" x14ac:dyDescent="0.25">
      <c r="A10" s="147"/>
      <c r="B10" s="147"/>
      <c r="C10" s="24"/>
      <c r="D10" s="62"/>
      <c r="E10" s="18"/>
      <c r="F10" s="18"/>
      <c r="G10" s="53"/>
      <c r="H10" s="25"/>
      <c r="I10" s="18"/>
      <c r="J10" s="273"/>
      <c r="K10" s="272"/>
      <c r="L10" s="273"/>
      <c r="M10" s="273"/>
      <c r="N10" s="273"/>
      <c r="O10" s="273"/>
      <c r="P10" s="272"/>
      <c r="Q10" s="272"/>
      <c r="R10" s="272"/>
    </row>
    <row r="11" spans="1:18" s="208" customFormat="1" ht="18.75" x14ac:dyDescent="0.25">
      <c r="A11" s="144" t="s">
        <v>324</v>
      </c>
      <c r="B11" s="147"/>
      <c r="C11" s="18"/>
      <c r="D11" s="18"/>
      <c r="E11" s="18"/>
      <c r="F11" s="18"/>
      <c r="G11" s="53"/>
      <c r="H11" s="25"/>
      <c r="I11" s="18"/>
      <c r="J11" s="273"/>
      <c r="K11" s="272"/>
      <c r="L11" s="273"/>
      <c r="M11" s="273"/>
      <c r="N11" s="273"/>
      <c r="O11" s="273"/>
      <c r="P11" s="272"/>
      <c r="Q11" s="272"/>
      <c r="R11" s="272"/>
    </row>
    <row r="12" spans="1:18" s="208" customFormat="1" ht="45" customHeight="1" x14ac:dyDescent="0.25">
      <c r="A12" s="144"/>
      <c r="B12" s="147"/>
      <c r="C12" s="813" t="s">
        <v>632</v>
      </c>
      <c r="D12" s="812"/>
      <c r="E12" s="812"/>
      <c r="F12" s="812"/>
      <c r="G12" s="812"/>
      <c r="H12" s="812"/>
      <c r="I12" s="18"/>
      <c r="J12" s="273"/>
      <c r="K12" s="272"/>
      <c r="L12" s="273"/>
      <c r="M12" s="273"/>
      <c r="N12" s="273"/>
      <c r="O12" s="273"/>
      <c r="P12" s="272"/>
      <c r="Q12" s="272"/>
      <c r="R12" s="272"/>
    </row>
    <row r="13" spans="1:18" s="208" customFormat="1" ht="29.1" customHeight="1" x14ac:dyDescent="0.25">
      <c r="A13" s="144"/>
      <c r="B13" s="145"/>
      <c r="C13" s="18"/>
      <c r="D13" s="301" t="s">
        <v>524</v>
      </c>
      <c r="E13" s="299" t="s">
        <v>302</v>
      </c>
      <c r="F13" s="301" t="s">
        <v>523</v>
      </c>
      <c r="G13" s="398" t="s">
        <v>720</v>
      </c>
      <c r="H13" s="300" t="s">
        <v>323</v>
      </c>
      <c r="I13" s="18"/>
      <c r="J13" s="273"/>
      <c r="K13" s="272"/>
      <c r="L13" s="273"/>
      <c r="M13" s="273"/>
      <c r="N13" s="273"/>
      <c r="O13" s="273"/>
      <c r="P13" s="272"/>
      <c r="Q13" s="272"/>
      <c r="R13" s="272"/>
    </row>
    <row r="14" spans="1:18" s="208" customFormat="1" ht="15" customHeight="1" x14ac:dyDescent="0.25">
      <c r="A14" s="149"/>
      <c r="B14" s="145"/>
      <c r="C14" s="24" t="s">
        <v>135</v>
      </c>
      <c r="D14" s="503" t="s">
        <v>167</v>
      </c>
      <c r="E14" s="503" t="s">
        <v>167</v>
      </c>
      <c r="F14" s="503" t="s">
        <v>167</v>
      </c>
      <c r="G14" s="575" t="s">
        <v>198</v>
      </c>
      <c r="H14" s="576"/>
      <c r="I14" s="18"/>
      <c r="J14" s="280" t="s">
        <v>167</v>
      </c>
      <c r="K14" s="272"/>
      <c r="L14" s="273"/>
      <c r="M14" s="273"/>
      <c r="N14" s="273"/>
      <c r="O14" s="273"/>
      <c r="P14" s="272"/>
      <c r="Q14" s="272"/>
      <c r="R14" s="272"/>
    </row>
    <row r="15" spans="1:18" s="208" customFormat="1" ht="15" customHeight="1" x14ac:dyDescent="0.25">
      <c r="A15" s="149"/>
      <c r="B15" s="145"/>
      <c r="C15" s="24" t="s">
        <v>164</v>
      </c>
      <c r="D15" s="503" t="s">
        <v>198</v>
      </c>
      <c r="E15" s="503" t="s">
        <v>198</v>
      </c>
      <c r="F15" s="503" t="s">
        <v>198</v>
      </c>
      <c r="G15" s="575" t="s">
        <v>198</v>
      </c>
      <c r="H15" s="576" t="s">
        <v>1031</v>
      </c>
      <c r="I15" s="18"/>
      <c r="J15" s="280" t="s">
        <v>198</v>
      </c>
      <c r="K15" s="272"/>
      <c r="L15" s="273"/>
      <c r="M15" s="273"/>
      <c r="N15" s="273"/>
      <c r="O15" s="273"/>
      <c r="P15" s="272"/>
      <c r="Q15" s="272"/>
      <c r="R15" s="272"/>
    </row>
    <row r="16" spans="1:18" s="208" customFormat="1" ht="15" customHeight="1" x14ac:dyDescent="0.25">
      <c r="A16" s="149"/>
      <c r="B16" s="145"/>
      <c r="C16" s="24" t="s">
        <v>165</v>
      </c>
      <c r="D16" s="503" t="s">
        <v>198</v>
      </c>
      <c r="E16" s="503" t="s">
        <v>198</v>
      </c>
      <c r="F16" s="503" t="s">
        <v>198</v>
      </c>
      <c r="G16" s="575" t="s">
        <v>198</v>
      </c>
      <c r="H16" s="576"/>
      <c r="I16" s="18"/>
      <c r="J16" s="273"/>
      <c r="K16" s="272"/>
      <c r="L16" s="273"/>
      <c r="M16" s="273"/>
      <c r="N16" s="273"/>
      <c r="O16" s="273"/>
      <c r="P16" s="272"/>
      <c r="Q16" s="272"/>
      <c r="R16" s="272"/>
    </row>
    <row r="17" spans="1:18" s="208" customFormat="1" ht="14.25" customHeight="1" x14ac:dyDescent="0.25">
      <c r="A17" s="147"/>
      <c r="B17" s="147"/>
      <c r="C17" s="24"/>
      <c r="D17" s="62"/>
      <c r="E17" s="18"/>
      <c r="F17" s="18"/>
      <c r="G17" s="399" t="s">
        <v>721</v>
      </c>
      <c r="H17" s="25"/>
      <c r="I17" s="18"/>
      <c r="J17" s="273"/>
      <c r="K17" s="272"/>
      <c r="L17" s="273"/>
      <c r="M17" s="273"/>
      <c r="N17" s="273"/>
      <c r="O17" s="273"/>
      <c r="P17" s="272"/>
      <c r="Q17" s="272"/>
      <c r="R17" s="272"/>
    </row>
    <row r="18" spans="1:18" s="208" customFormat="1" ht="18.75" x14ac:dyDescent="0.25">
      <c r="A18" s="144" t="s">
        <v>134</v>
      </c>
      <c r="B18" s="147"/>
      <c r="C18" s="24"/>
      <c r="D18" s="62"/>
      <c r="E18" s="18"/>
      <c r="F18" s="18"/>
      <c r="G18" s="53"/>
      <c r="H18" s="25"/>
      <c r="I18" s="18"/>
      <c r="J18" s="273"/>
      <c r="K18" s="272"/>
      <c r="L18" s="273"/>
      <c r="M18" s="273"/>
      <c r="N18" s="273"/>
      <c r="O18" s="273"/>
      <c r="P18" s="272"/>
      <c r="Q18" s="272"/>
      <c r="R18" s="272"/>
    </row>
    <row r="19" spans="1:18" s="208" customFormat="1" ht="30" customHeight="1" x14ac:dyDescent="0.25">
      <c r="A19" s="147"/>
      <c r="B19" s="247" t="s">
        <v>132</v>
      </c>
      <c r="C19" s="24"/>
      <c r="D19" s="50" t="s">
        <v>54</v>
      </c>
      <c r="E19" s="50" t="s">
        <v>92</v>
      </c>
      <c r="F19" s="50" t="s">
        <v>93</v>
      </c>
      <c r="G19" s="53"/>
      <c r="H19" s="403" t="s">
        <v>734</v>
      </c>
      <c r="I19" s="18"/>
      <c r="J19" s="273"/>
      <c r="K19" s="272"/>
      <c r="L19" s="273"/>
      <c r="M19" s="273"/>
      <c r="N19" s="273"/>
      <c r="O19" s="273"/>
      <c r="P19" s="272"/>
      <c r="Q19" s="272"/>
      <c r="R19" s="272"/>
    </row>
    <row r="20" spans="1:18" s="208" customFormat="1" ht="15" customHeight="1" x14ac:dyDescent="0.25">
      <c r="A20" s="147"/>
      <c r="B20" s="147"/>
      <c r="C20" s="24" t="s">
        <v>129</v>
      </c>
      <c r="D20" s="514">
        <f>D106</f>
        <v>1.6246167302815697</v>
      </c>
      <c r="E20" s="515">
        <f>E106</f>
        <v>0.67692363761732077</v>
      </c>
      <c r="F20" s="515">
        <f>F106</f>
        <v>2.5046174591840864</v>
      </c>
      <c r="G20" s="53"/>
      <c r="H20" s="18" t="s">
        <v>862</v>
      </c>
      <c r="I20" s="18"/>
      <c r="J20" s="273"/>
      <c r="K20" s="272"/>
      <c r="L20" s="273"/>
      <c r="M20" s="273"/>
      <c r="N20" s="273"/>
      <c r="O20" s="273"/>
      <c r="P20" s="272"/>
      <c r="Q20" s="272"/>
      <c r="R20" s="272"/>
    </row>
    <row r="21" spans="1:18" s="208" customFormat="1" ht="15" customHeight="1" x14ac:dyDescent="0.25">
      <c r="A21" s="147"/>
      <c r="B21" s="147"/>
      <c r="C21" s="24" t="s">
        <v>325</v>
      </c>
      <c r="D21" s="514">
        <f>D115</f>
        <v>1.07971353154684</v>
      </c>
      <c r="E21" s="573"/>
      <c r="F21" s="573"/>
      <c r="G21" s="53"/>
      <c r="H21" s="18" t="s">
        <v>862</v>
      </c>
      <c r="I21" s="18"/>
      <c r="J21" s="273"/>
      <c r="K21" s="272"/>
      <c r="L21" s="273"/>
      <c r="M21" s="273"/>
      <c r="N21" s="273"/>
      <c r="O21" s="273"/>
      <c r="P21" s="272"/>
      <c r="Q21" s="272"/>
      <c r="R21" s="272"/>
    </row>
    <row r="22" spans="1:18" ht="15" customHeight="1" x14ac:dyDescent="0.25">
      <c r="C22" s="24" t="s">
        <v>130</v>
      </c>
      <c r="D22" s="514">
        <f>D145</f>
        <v>39.984462151408138</v>
      </c>
      <c r="E22" s="515">
        <f>E145</f>
        <v>30.097023205418751</v>
      </c>
      <c r="F22" s="515">
        <f>F145</f>
        <v>49.800753388578457</v>
      </c>
      <c r="H22" s="18" t="s">
        <v>862</v>
      </c>
      <c r="I22" s="18"/>
      <c r="J22" s="273"/>
    </row>
    <row r="23" spans="1:18" ht="15" customHeight="1" x14ac:dyDescent="0.25">
      <c r="C23" s="24" t="s">
        <v>505</v>
      </c>
      <c r="D23" s="514">
        <f>D150</f>
        <v>0</v>
      </c>
      <c r="E23" s="573"/>
      <c r="F23" s="573"/>
      <c r="H23" s="18" t="s">
        <v>862</v>
      </c>
      <c r="I23" s="18"/>
      <c r="J23" s="273"/>
    </row>
    <row r="24" spans="1:18" ht="3.95" customHeight="1" x14ac:dyDescent="0.25">
      <c r="C24" s="24"/>
      <c r="D24" s="574"/>
      <c r="E24" s="573"/>
      <c r="F24" s="573"/>
      <c r="I24" s="18"/>
      <c r="J24" s="273"/>
    </row>
    <row r="25" spans="1:18" ht="15.75" x14ac:dyDescent="0.25">
      <c r="B25" s="145" t="s">
        <v>131</v>
      </c>
      <c r="C25" s="24"/>
      <c r="D25" s="514">
        <f>D155</f>
        <v>9.5625529714994606</v>
      </c>
      <c r="E25" s="573"/>
      <c r="F25" s="573"/>
      <c r="H25" s="18" t="s">
        <v>863</v>
      </c>
      <c r="I25" s="18"/>
      <c r="J25" s="273"/>
    </row>
    <row r="26" spans="1:18" ht="3.95" customHeight="1" x14ac:dyDescent="0.25">
      <c r="B26" s="145"/>
      <c r="C26" s="24"/>
      <c r="D26" s="531"/>
      <c r="E26" s="531"/>
      <c r="F26" s="531"/>
      <c r="I26" s="18"/>
      <c r="J26" s="273"/>
    </row>
    <row r="27" spans="1:18" ht="15" customHeight="1" x14ac:dyDescent="0.25">
      <c r="B27" s="147" t="s">
        <v>133</v>
      </c>
      <c r="C27" s="24"/>
      <c r="D27" s="530"/>
      <c r="E27" s="531"/>
      <c r="F27" s="531"/>
      <c r="I27" s="18"/>
      <c r="J27" s="273"/>
    </row>
    <row r="28" spans="1:18" ht="15" customHeight="1" x14ac:dyDescent="0.25">
      <c r="C28" s="24" t="str">
        <f>C157</f>
        <v>Nettonytte</v>
      </c>
      <c r="D28" s="514">
        <f>D157</f>
        <v>33.126239441737084</v>
      </c>
      <c r="E28" s="515">
        <f>E157</f>
        <v>22.291107403083451</v>
      </c>
      <c r="F28" s="515">
        <f>F157</f>
        <v>43.822531407809919</v>
      </c>
      <c r="H28" s="18" t="s">
        <v>862</v>
      </c>
      <c r="I28" s="18"/>
      <c r="J28" s="273"/>
    </row>
    <row r="29" spans="1:18" ht="15" customHeight="1" x14ac:dyDescent="0.25">
      <c r="C29" s="24" t="str">
        <f t="shared" ref="C29:F31" si="0">C158</f>
        <v>Nettonytte per budsjettkrone</v>
      </c>
      <c r="D29" s="514">
        <f t="shared" si="0"/>
        <v>3.464162712663406</v>
      </c>
      <c r="E29" s="515">
        <f t="shared" si="0"/>
        <v>2.3310832859719137</v>
      </c>
      <c r="F29" s="515">
        <f t="shared" si="0"/>
        <v>4.5827229965073135</v>
      </c>
      <c r="H29" s="18" t="s">
        <v>862</v>
      </c>
      <c r="I29" s="18"/>
      <c r="J29" s="273"/>
    </row>
    <row r="30" spans="1:18" ht="15" customHeight="1" x14ac:dyDescent="0.25">
      <c r="C30" s="24" t="str">
        <f t="shared" si="0"/>
        <v>Nyttekostnadsforhold</v>
      </c>
      <c r="D30" s="514">
        <f t="shared" si="0"/>
        <v>4.4641627126634065</v>
      </c>
      <c r="E30" s="515">
        <f t="shared" si="0"/>
        <v>3.3310832859719137</v>
      </c>
      <c r="F30" s="515">
        <f t="shared" si="0"/>
        <v>5.5827229965073135</v>
      </c>
      <c r="I30" s="18"/>
      <c r="J30" s="273"/>
    </row>
    <row r="31" spans="1:18" ht="15" customHeight="1" x14ac:dyDescent="0.25">
      <c r="C31" s="24" t="str">
        <f t="shared" si="0"/>
        <v>TS-effekt per mill. kroner</v>
      </c>
      <c r="D31" s="514">
        <f t="shared" si="0"/>
        <v>0.16989361890319765</v>
      </c>
      <c r="E31" s="515">
        <f t="shared" si="0"/>
        <v>7.0789007876332369E-2</v>
      </c>
      <c r="F31" s="515">
        <f t="shared" si="0"/>
        <v>0.26191932914242971</v>
      </c>
      <c r="H31" s="18" t="s">
        <v>862</v>
      </c>
      <c r="I31" s="18"/>
      <c r="J31" s="273"/>
    </row>
    <row r="32" spans="1:18" ht="6" customHeight="1" x14ac:dyDescent="0.25">
      <c r="D32" s="18"/>
      <c r="E32" s="18"/>
      <c r="F32" s="18"/>
      <c r="H32" s="25"/>
      <c r="I32" s="18"/>
      <c r="J32" s="273"/>
    </row>
    <row r="33" spans="1:18" ht="16.5" customHeight="1" x14ac:dyDescent="0.25">
      <c r="A33" s="144" t="s">
        <v>0</v>
      </c>
      <c r="D33" s="20"/>
      <c r="E33" s="20"/>
      <c r="F33" s="20"/>
      <c r="H33" s="21"/>
      <c r="I33" s="20"/>
    </row>
    <row r="34" spans="1:18" x14ac:dyDescent="0.25">
      <c r="A34" s="150">
        <v>1</v>
      </c>
      <c r="C34" s="24" t="s">
        <v>406</v>
      </c>
      <c r="D34" s="504">
        <v>10</v>
      </c>
      <c r="E34" s="18" t="s">
        <v>773</v>
      </c>
      <c r="F34" s="18"/>
      <c r="G34" s="53">
        <f>A34</f>
        <v>1</v>
      </c>
      <c r="H34" s="18" t="s">
        <v>407</v>
      </c>
      <c r="I34" s="20"/>
      <c r="J34" s="272">
        <v>10</v>
      </c>
    </row>
    <row r="35" spans="1:18" x14ac:dyDescent="0.25">
      <c r="A35" s="150">
        <f>MAXA(A$34:A34)+1</f>
        <v>2</v>
      </c>
      <c r="C35" s="24" t="s">
        <v>8</v>
      </c>
      <c r="D35" s="516">
        <f>'Data-beregninger'!B6</f>
        <v>4</v>
      </c>
      <c r="E35" s="18" t="s">
        <v>61</v>
      </c>
      <c r="F35" s="18"/>
      <c r="G35" s="53">
        <f>A35</f>
        <v>2</v>
      </c>
      <c r="H35" s="18" t="s">
        <v>831</v>
      </c>
      <c r="I35" s="20"/>
      <c r="J35" s="272" t="s">
        <v>383</v>
      </c>
    </row>
    <row r="36" spans="1:18" x14ac:dyDescent="0.25">
      <c r="A36" s="150">
        <f>MAXA(A$34:A35)+1</f>
        <v>3</v>
      </c>
      <c r="C36" s="24" t="s">
        <v>55</v>
      </c>
      <c r="D36" s="517">
        <f>'Data-beregninger'!B7</f>
        <v>20</v>
      </c>
      <c r="E36" s="18" t="s">
        <v>61</v>
      </c>
      <c r="F36" s="18"/>
      <c r="G36" s="53">
        <f>A36</f>
        <v>3</v>
      </c>
      <c r="H36" s="18" t="s">
        <v>832</v>
      </c>
      <c r="I36" s="20"/>
    </row>
    <row r="37" spans="1:18" x14ac:dyDescent="0.25">
      <c r="A37" s="150">
        <f>MAXA(A$34:A36)+1</f>
        <v>4</v>
      </c>
      <c r="C37" s="24" t="s">
        <v>58</v>
      </c>
      <c r="D37" s="518">
        <f>IF(D34&lt;=1,D34,(1/(D35/100))*(1-1/((100+D35)/100)^D34))</f>
        <v>8.1108957793550367</v>
      </c>
      <c r="E37" s="18"/>
      <c r="F37" s="18"/>
      <c r="G37" s="53">
        <f>A37</f>
        <v>4</v>
      </c>
      <c r="H37" s="18" t="s">
        <v>116</v>
      </c>
      <c r="I37" s="20"/>
      <c r="J37" s="272" t="s">
        <v>48</v>
      </c>
      <c r="K37" s="277">
        <f>IF(D34&lt;=1,D34,VLOOKUP(D34,K201:L225,2))</f>
        <v>10.544398687589762</v>
      </c>
    </row>
    <row r="38" spans="1:18" x14ac:dyDescent="0.25">
      <c r="A38" s="150">
        <f>MAXA(A$33:A37)+1</f>
        <v>5</v>
      </c>
      <c r="C38" s="24" t="s">
        <v>998</v>
      </c>
      <c r="D38" s="601">
        <f>'Data-beregninger'!$C$3</f>
        <v>2014</v>
      </c>
      <c r="E38" s="18"/>
      <c r="F38" s="18"/>
      <c r="G38" s="53">
        <f>A38</f>
        <v>5</v>
      </c>
      <c r="H38" s="18" t="s">
        <v>1000</v>
      </c>
      <c r="I38" s="497"/>
      <c r="K38" s="277"/>
    </row>
    <row r="39" spans="1:18" ht="15.75" customHeight="1" x14ac:dyDescent="0.25">
      <c r="A39" s="151"/>
      <c r="B39" s="145" t="s">
        <v>77</v>
      </c>
      <c r="C39" s="24"/>
      <c r="D39" s="94" t="s">
        <v>171</v>
      </c>
      <c r="E39" s="78" t="s">
        <v>172</v>
      </c>
      <c r="F39" s="78" t="s">
        <v>173</v>
      </c>
      <c r="G39" s="305" t="str">
        <f>CONCATENATE(A40,"-",A42)</f>
        <v>6-8</v>
      </c>
      <c r="H39" s="813" t="s">
        <v>127</v>
      </c>
      <c r="I39" s="20"/>
    </row>
    <row r="40" spans="1:18" ht="15.75" customHeight="1" x14ac:dyDescent="0.25">
      <c r="A40" s="150">
        <f>MAXA(A$34:A39)+1</f>
        <v>6</v>
      </c>
      <c r="B40" s="145"/>
      <c r="C40" s="24" t="s">
        <v>176</v>
      </c>
      <c r="D40" s="506">
        <v>4</v>
      </c>
      <c r="E40" s="507">
        <v>4</v>
      </c>
      <c r="F40" s="507">
        <v>0</v>
      </c>
      <c r="H40" s="812"/>
      <c r="I40" s="20"/>
    </row>
    <row r="41" spans="1:18" ht="15.75" customHeight="1" x14ac:dyDescent="0.25">
      <c r="A41" s="150">
        <f>MAXA(A$34:A40)+1</f>
        <v>7</v>
      </c>
      <c r="B41" s="145"/>
      <c r="C41" s="24" t="s">
        <v>174</v>
      </c>
      <c r="D41" s="506">
        <v>1000000</v>
      </c>
      <c r="E41" s="507">
        <v>100000</v>
      </c>
      <c r="F41" s="507">
        <v>0</v>
      </c>
      <c r="H41" s="812"/>
      <c r="I41" s="20"/>
    </row>
    <row r="42" spans="1:18" ht="15.75" customHeight="1" x14ac:dyDescent="0.25">
      <c r="A42" s="150">
        <f>MAXA(A$34:A41)+1</f>
        <v>8</v>
      </c>
      <c r="B42" s="145"/>
      <c r="C42" s="24" t="s">
        <v>175</v>
      </c>
      <c r="D42" s="507">
        <v>100000</v>
      </c>
      <c r="E42" s="507">
        <v>10000</v>
      </c>
      <c r="F42" s="507">
        <v>0</v>
      </c>
      <c r="H42" s="812"/>
      <c r="I42" s="20"/>
    </row>
    <row r="43" spans="1:18" ht="15.75" x14ac:dyDescent="0.25">
      <c r="A43" s="151"/>
      <c r="B43" s="145" t="s">
        <v>78</v>
      </c>
      <c r="C43" s="24"/>
      <c r="D43" s="20"/>
      <c r="E43" s="18"/>
      <c r="F43" s="18"/>
      <c r="H43" s="21"/>
      <c r="I43" s="20"/>
    </row>
    <row r="44" spans="1:18" x14ac:dyDescent="0.25">
      <c r="A44" s="150">
        <f>MAXA(A$34:A43)+1</f>
        <v>9</v>
      </c>
      <c r="C44" s="24" t="s">
        <v>16</v>
      </c>
      <c r="D44" s="854" t="s">
        <v>31</v>
      </c>
      <c r="E44" s="819"/>
      <c r="F44" s="819"/>
      <c r="G44" s="53">
        <f t="shared" ref="G44:G56" si="1">A44</f>
        <v>9</v>
      </c>
      <c r="H44" s="18" t="s">
        <v>1004</v>
      </c>
      <c r="I44" s="20"/>
    </row>
    <row r="45" spans="1:18" x14ac:dyDescent="0.25">
      <c r="A45" s="150">
        <f>MAXA(A$34:A44)+1</f>
        <v>10</v>
      </c>
      <c r="C45" s="24" t="s">
        <v>265</v>
      </c>
      <c r="D45" s="554"/>
      <c r="E45" s="854" t="s">
        <v>267</v>
      </c>
      <c r="F45" s="819"/>
      <c r="G45" s="53">
        <f t="shared" si="1"/>
        <v>10</v>
      </c>
      <c r="H45" s="18" t="s">
        <v>753</v>
      </c>
      <c r="I45" s="20"/>
      <c r="J45" s="290" t="str">
        <f>'Data-beregninger'!A100</f>
        <v>Annet område</v>
      </c>
    </row>
    <row r="46" spans="1:18" x14ac:dyDescent="0.25">
      <c r="A46" s="150">
        <f>MAXA(A$34:A45)+1</f>
        <v>11</v>
      </c>
      <c r="C46" s="24" t="s">
        <v>2</v>
      </c>
      <c r="D46" s="507">
        <v>5000</v>
      </c>
      <c r="E46" s="18" t="s">
        <v>43</v>
      </c>
      <c r="F46" s="29"/>
      <c r="G46" s="53">
        <f t="shared" si="1"/>
        <v>11</v>
      </c>
      <c r="H46" s="80" t="s">
        <v>833</v>
      </c>
      <c r="I46" s="20"/>
      <c r="J46" s="290" t="str">
        <f>'Data-beregninger'!A101</f>
        <v>By</v>
      </c>
    </row>
    <row r="47" spans="1:18" x14ac:dyDescent="0.25">
      <c r="A47" s="150">
        <f>MAXA(A$34:A46)+1</f>
        <v>12</v>
      </c>
      <c r="C47" s="24" t="s">
        <v>3</v>
      </c>
      <c r="D47" s="506">
        <v>50000</v>
      </c>
      <c r="E47" s="18" t="s">
        <v>4</v>
      </c>
      <c r="F47" s="29"/>
      <c r="G47" s="53">
        <f t="shared" si="1"/>
        <v>12</v>
      </c>
      <c r="H47" s="80" t="s">
        <v>834</v>
      </c>
      <c r="I47" s="20"/>
      <c r="J47" s="290" t="str">
        <f>'Data-beregninger'!A102</f>
        <v>Storby</v>
      </c>
    </row>
    <row r="48" spans="1:18" s="81" customFormat="1" x14ac:dyDescent="0.25">
      <c r="A48" s="210">
        <f>MAXA(A$34:A47)+1</f>
        <v>13</v>
      </c>
      <c r="B48" s="211"/>
      <c r="C48" s="85" t="s">
        <v>169</v>
      </c>
      <c r="D48" s="555">
        <v>40</v>
      </c>
      <c r="E48" s="80" t="s">
        <v>61</v>
      </c>
      <c r="F48" s="89"/>
      <c r="G48" s="53">
        <f t="shared" si="1"/>
        <v>13</v>
      </c>
      <c r="H48" s="80" t="s">
        <v>502</v>
      </c>
      <c r="I48" s="92"/>
      <c r="J48" s="290"/>
      <c r="K48" s="278"/>
      <c r="L48" s="278"/>
      <c r="M48" s="278"/>
      <c r="N48" s="278"/>
      <c r="O48" s="278"/>
      <c r="P48" s="278"/>
      <c r="Q48" s="278"/>
      <c r="R48" s="278"/>
    </row>
    <row r="49" spans="1:18" x14ac:dyDescent="0.25">
      <c r="A49" s="150">
        <f>MAXA(A$34:A47)+1</f>
        <v>13</v>
      </c>
      <c r="C49" s="24" t="s">
        <v>79</v>
      </c>
      <c r="D49" s="507">
        <v>10</v>
      </c>
      <c r="E49" s="18" t="s">
        <v>61</v>
      </c>
      <c r="F49" s="29"/>
      <c r="G49" s="53">
        <f t="shared" si="1"/>
        <v>13</v>
      </c>
      <c r="H49" s="80" t="s">
        <v>501</v>
      </c>
      <c r="I49" s="20"/>
      <c r="J49" s="290"/>
    </row>
    <row r="50" spans="1:18" x14ac:dyDescent="0.25">
      <c r="A50" s="150">
        <f>MAXA(A$34:A49)+1</f>
        <v>14</v>
      </c>
      <c r="C50" s="24" t="s">
        <v>94</v>
      </c>
      <c r="D50" s="507">
        <v>2</v>
      </c>
      <c r="E50" s="18" t="s">
        <v>61</v>
      </c>
      <c r="F50" s="29"/>
      <c r="G50" s="53">
        <f t="shared" si="1"/>
        <v>14</v>
      </c>
      <c r="H50" s="80" t="s">
        <v>500</v>
      </c>
      <c r="I50" s="20"/>
      <c r="J50" s="290"/>
    </row>
    <row r="51" spans="1:18" x14ac:dyDescent="0.25">
      <c r="A51" s="150">
        <f>MAXA(A$34:A50)+1</f>
        <v>15</v>
      </c>
      <c r="C51" s="24" t="s">
        <v>239</v>
      </c>
      <c r="D51" s="507">
        <v>40</v>
      </c>
      <c r="E51" s="18" t="s">
        <v>61</v>
      </c>
      <c r="F51" s="29"/>
      <c r="G51" s="53">
        <f t="shared" si="1"/>
        <v>15</v>
      </c>
      <c r="H51" s="80" t="s">
        <v>499</v>
      </c>
      <c r="I51" s="20"/>
      <c r="J51" s="290"/>
    </row>
    <row r="52" spans="1:18" x14ac:dyDescent="0.25">
      <c r="A52" s="150"/>
      <c r="C52" s="24"/>
      <c r="D52" s="94" t="s">
        <v>484</v>
      </c>
      <c r="E52" s="78" t="s">
        <v>506</v>
      </c>
      <c r="F52" s="29"/>
      <c r="G52" s="305" t="str">
        <f>CONCATENATE(A53,"-",A54)</f>
        <v>16-17</v>
      </c>
      <c r="H52" s="851" t="s">
        <v>744</v>
      </c>
      <c r="I52" s="235"/>
      <c r="J52" s="290"/>
    </row>
    <row r="53" spans="1:18" ht="15" customHeight="1" x14ac:dyDescent="0.25">
      <c r="A53" s="150">
        <f>MAXA(A$34:A51)+1</f>
        <v>16</v>
      </c>
      <c r="C53" s="24" t="s">
        <v>503</v>
      </c>
      <c r="D53" s="507">
        <v>40</v>
      </c>
      <c r="E53" s="577">
        <v>2.12</v>
      </c>
      <c r="F53" s="29"/>
      <c r="H53" s="812"/>
      <c r="I53" s="235"/>
      <c r="J53" s="290"/>
    </row>
    <row r="54" spans="1:18" x14ac:dyDescent="0.25">
      <c r="A54" s="150">
        <f>MAXA(A$34:A53)+1</f>
        <v>17</v>
      </c>
      <c r="C54" s="24" t="s">
        <v>504</v>
      </c>
      <c r="D54" s="507">
        <v>20</v>
      </c>
      <c r="E54" s="577">
        <v>2.83</v>
      </c>
      <c r="F54" s="29"/>
      <c r="H54" s="812"/>
      <c r="I54" s="235"/>
      <c r="J54" s="290"/>
    </row>
    <row r="55" spans="1:18" ht="3" customHeight="1" x14ac:dyDescent="0.25">
      <c r="A55" s="150"/>
      <c r="C55" s="24"/>
      <c r="D55" s="243"/>
      <c r="E55" s="406"/>
      <c r="F55" s="29"/>
      <c r="H55" s="361"/>
      <c r="I55" s="368"/>
      <c r="J55" s="290"/>
    </row>
    <row r="56" spans="1:18" x14ac:dyDescent="0.25">
      <c r="A56" s="150">
        <f>MAXA(A$34:A54)+1</f>
        <v>18</v>
      </c>
      <c r="C56" s="24" t="s">
        <v>46</v>
      </c>
      <c r="D56" s="586">
        <v>5</v>
      </c>
      <c r="E56" s="18" t="s">
        <v>61</v>
      </c>
      <c r="F56" s="29"/>
      <c r="G56" s="53">
        <f t="shared" si="1"/>
        <v>18</v>
      </c>
      <c r="H56" s="80" t="s">
        <v>121</v>
      </c>
      <c r="I56" s="20"/>
      <c r="J56" s="290"/>
    </row>
    <row r="57" spans="1:18" ht="15" customHeight="1" x14ac:dyDescent="0.25">
      <c r="A57" s="150">
        <f>MAXA(A$34:A56)+1</f>
        <v>19</v>
      </c>
      <c r="C57" s="24" t="s">
        <v>109</v>
      </c>
      <c r="D57" s="506">
        <v>30</v>
      </c>
      <c r="E57" s="18" t="s">
        <v>61</v>
      </c>
      <c r="F57" s="29"/>
      <c r="G57" s="305" t="str">
        <f>CONCATENATE(A57,"-",A59)</f>
        <v>19-21</v>
      </c>
      <c r="H57" s="813" t="s">
        <v>408</v>
      </c>
      <c r="I57" s="20"/>
      <c r="J57" s="290"/>
    </row>
    <row r="58" spans="1:18" x14ac:dyDescent="0.25">
      <c r="A58" s="150">
        <f>MAXA(A$34:A57)+1</f>
        <v>20</v>
      </c>
      <c r="C58" s="24" t="s">
        <v>111</v>
      </c>
      <c r="D58" s="507"/>
      <c r="E58" s="18" t="s">
        <v>61</v>
      </c>
      <c r="F58" s="29"/>
      <c r="G58" s="55"/>
      <c r="H58" s="813"/>
      <c r="I58" s="20"/>
    </row>
    <row r="59" spans="1:18" x14ac:dyDescent="0.25">
      <c r="A59" s="150">
        <f>MAXA(A$34:A58)+1</f>
        <v>21</v>
      </c>
      <c r="C59" s="24" t="s">
        <v>110</v>
      </c>
      <c r="D59" s="507"/>
      <c r="E59" s="18" t="s">
        <v>61</v>
      </c>
      <c r="F59" s="29"/>
      <c r="G59" s="55"/>
      <c r="H59" s="813"/>
      <c r="I59" s="20"/>
    </row>
    <row r="60" spans="1:18" ht="15" hidden="1" customHeight="1" x14ac:dyDescent="0.25">
      <c r="A60" s="150"/>
      <c r="B60" s="145" t="s">
        <v>123</v>
      </c>
      <c r="C60" s="24"/>
      <c r="D60" s="18"/>
      <c r="E60" s="18"/>
      <c r="F60" s="29"/>
      <c r="G60" s="55"/>
      <c r="H60" s="66"/>
      <c r="I60" s="20"/>
    </row>
    <row r="61" spans="1:18" x14ac:dyDescent="0.25">
      <c r="A61" s="150">
        <f>MAXA(A$34:A60)+1</f>
        <v>22</v>
      </c>
      <c r="C61" s="24" t="s">
        <v>9</v>
      </c>
      <c r="D61" s="519">
        <f>VLOOKUP(D44,'Data-beregninger'!B25:C34,2)</f>
        <v>0.13601807999999999</v>
      </c>
      <c r="E61" s="18" t="s">
        <v>144</v>
      </c>
      <c r="F61" s="29"/>
      <c r="G61" s="53">
        <f>A61</f>
        <v>22</v>
      </c>
      <c r="H61" s="18" t="s">
        <v>95</v>
      </c>
      <c r="I61" s="20"/>
    </row>
    <row r="62" spans="1:18" s="19" customFormat="1" hidden="1" x14ac:dyDescent="0.25">
      <c r="A62" s="261" t="s">
        <v>56</v>
      </c>
      <c r="B62" s="31"/>
      <c r="C62" s="33" t="s">
        <v>371</v>
      </c>
      <c r="D62" s="259">
        <f>IF(COUNTA(D69)=1,IF(D69=0,D$61*'Data-beregninger'!C$114,IF(D69&gt;0,D$61*'Data-beregninger'!D$114,)),D$61)</f>
        <v>2.3451127794492571E-2</v>
      </c>
      <c r="E62" s="19" t="s">
        <v>144</v>
      </c>
      <c r="F62" s="260"/>
      <c r="G62" s="53" t="s">
        <v>122</v>
      </c>
      <c r="H62" s="858" t="s">
        <v>376</v>
      </c>
      <c r="J62" s="272"/>
      <c r="K62" s="272"/>
      <c r="L62" s="273"/>
      <c r="M62" s="273"/>
      <c r="N62" s="273"/>
      <c r="O62" s="273"/>
      <c r="P62" s="273"/>
      <c r="Q62" s="273"/>
      <c r="R62" s="273"/>
    </row>
    <row r="63" spans="1:18" s="19" customFormat="1" hidden="1" x14ac:dyDescent="0.25">
      <c r="A63" s="261" t="s">
        <v>56</v>
      </c>
      <c r="B63" s="31"/>
      <c r="C63" s="33" t="s">
        <v>372</v>
      </c>
      <c r="D63" s="259">
        <f>IF(COUNTA(D74)=1,IF(D74=0,D$61*'Data-beregninger'!C$114,IF(D74&gt;0,D$61*'Data-beregninger'!D$114,)),D$61)</f>
        <v>0.13601807999999999</v>
      </c>
      <c r="E63" s="19" t="s">
        <v>144</v>
      </c>
      <c r="F63" s="260"/>
      <c r="G63" s="53"/>
      <c r="H63" s="858"/>
      <c r="J63" s="272"/>
      <c r="K63" s="272"/>
      <c r="L63" s="273"/>
      <c r="M63" s="273"/>
      <c r="N63" s="273"/>
      <c r="O63" s="273"/>
      <c r="P63" s="273"/>
      <c r="Q63" s="273"/>
      <c r="R63" s="273"/>
    </row>
    <row r="64" spans="1:18" s="19" customFormat="1" hidden="1" x14ac:dyDescent="0.25">
      <c r="A64" s="261" t="s">
        <v>56</v>
      </c>
      <c r="B64" s="31"/>
      <c r="C64" s="33" t="s">
        <v>373</v>
      </c>
      <c r="D64" s="259">
        <f>IF(COUNTA(D78)=1,IF(D78=0,D$61*'Data-beregninger'!C$114,IF(D78&gt;0,D$61*'Data-beregninger'!D$114,)),D$61)</f>
        <v>0.13601807999999999</v>
      </c>
      <c r="E64" s="19" t="s">
        <v>144</v>
      </c>
      <c r="F64" s="260"/>
      <c r="G64" s="53"/>
      <c r="H64" s="858"/>
      <c r="J64" s="272"/>
      <c r="K64" s="272"/>
      <c r="L64" s="273"/>
      <c r="M64" s="273"/>
      <c r="N64" s="273"/>
      <c r="O64" s="273"/>
      <c r="P64" s="273"/>
      <c r="Q64" s="273"/>
      <c r="R64" s="273"/>
    </row>
    <row r="65" spans="1:18" ht="15.75" x14ac:dyDescent="0.25">
      <c r="A65" s="150"/>
      <c r="B65" s="145" t="s">
        <v>381</v>
      </c>
      <c r="C65" s="24"/>
      <c r="D65" s="133" t="s">
        <v>54</v>
      </c>
      <c r="E65" s="133" t="s">
        <v>92</v>
      </c>
      <c r="F65" s="133" t="s">
        <v>93</v>
      </c>
      <c r="H65" s="209"/>
      <c r="I65" s="179"/>
      <c r="J65" s="272">
        <v>-24</v>
      </c>
      <c r="K65" s="272">
        <v>-10</v>
      </c>
      <c r="L65" s="272">
        <v>-37</v>
      </c>
    </row>
    <row r="66" spans="1:18" x14ac:dyDescent="0.25">
      <c r="A66" s="150">
        <f>MAXA(A$34:A65)+1</f>
        <v>23</v>
      </c>
      <c r="C66" s="24" t="s">
        <v>382</v>
      </c>
      <c r="D66" s="507">
        <v>-24</v>
      </c>
      <c r="E66" s="557">
        <v>-10</v>
      </c>
      <c r="F66" s="557">
        <v>-37</v>
      </c>
      <c r="G66" s="53">
        <f>A66</f>
        <v>23</v>
      </c>
      <c r="H66" s="370" t="s">
        <v>803</v>
      </c>
      <c r="I66" s="179"/>
      <c r="J66" s="272" t="s">
        <v>383</v>
      </c>
      <c r="K66" s="272" t="s">
        <v>383</v>
      </c>
      <c r="L66" s="272" t="s">
        <v>383</v>
      </c>
    </row>
    <row r="67" spans="1:18" hidden="1" x14ac:dyDescent="0.25">
      <c r="A67" s="219"/>
      <c r="B67" s="31"/>
      <c r="C67" s="22" t="s">
        <v>56</v>
      </c>
      <c r="D67" s="159">
        <f>D66</f>
        <v>-24</v>
      </c>
      <c r="E67" s="159">
        <f>IF(COUNT(E66:F66)=2,MAXA(E66:F66),"")</f>
        <v>-10</v>
      </c>
      <c r="F67" s="159">
        <f>IF(COUNT(E66:F66)=2,MIN(E66:F66),"")</f>
        <v>-37</v>
      </c>
      <c r="H67" s="220">
        <f>IF(COUNT(E67)=1,1,"X")</f>
        <v>1</v>
      </c>
      <c r="L67" s="272"/>
    </row>
    <row r="68" spans="1:18" s="81" customFormat="1" ht="15" customHeight="1" x14ac:dyDescent="0.25">
      <c r="A68" s="210"/>
      <c r="B68" s="211" t="s">
        <v>367</v>
      </c>
      <c r="C68" s="85"/>
      <c r="D68" s="97" t="s">
        <v>178</v>
      </c>
      <c r="E68" s="97" t="s">
        <v>179</v>
      </c>
      <c r="F68" s="87"/>
      <c r="G68" s="90"/>
      <c r="H68" s="91"/>
      <c r="I68" s="92"/>
      <c r="J68" s="279" t="s">
        <v>193</v>
      </c>
      <c r="K68" s="279" t="s">
        <v>194</v>
      </c>
      <c r="L68" s="278"/>
      <c r="M68" s="278"/>
      <c r="N68" s="278"/>
      <c r="O68" s="278"/>
      <c r="P68" s="278"/>
      <c r="Q68" s="278"/>
      <c r="R68" s="278"/>
    </row>
    <row r="69" spans="1:18" s="81" customFormat="1" ht="15" customHeight="1" x14ac:dyDescent="0.25">
      <c r="A69" s="210">
        <f>MAXA(A$34:A68)+1</f>
        <v>24</v>
      </c>
      <c r="B69" s="211"/>
      <c r="C69" s="85" t="s">
        <v>180</v>
      </c>
      <c r="D69" s="558">
        <v>40</v>
      </c>
      <c r="E69" s="558">
        <v>38</v>
      </c>
      <c r="F69" s="80" t="s">
        <v>61</v>
      </c>
      <c r="G69" s="305" t="str">
        <f>CONCATENATE(A69,"-",A80)</f>
        <v>24-35</v>
      </c>
      <c r="H69" s="850" t="s">
        <v>731</v>
      </c>
      <c r="I69" s="92"/>
      <c r="J69" s="280"/>
      <c r="K69" s="280"/>
      <c r="L69" s="278"/>
      <c r="M69" s="278"/>
      <c r="N69" s="278"/>
      <c r="O69" s="278"/>
      <c r="P69" s="278"/>
      <c r="Q69" s="278"/>
      <c r="R69" s="278"/>
    </row>
    <row r="70" spans="1:18" s="81" customFormat="1" ht="15" customHeight="1" x14ac:dyDescent="0.25">
      <c r="A70" s="210">
        <f>MAXA(A$34:A69)+1</f>
        <v>25</v>
      </c>
      <c r="B70" s="211"/>
      <c r="C70" s="85" t="s">
        <v>181</v>
      </c>
      <c r="D70" s="558">
        <v>60</v>
      </c>
      <c r="E70" s="558">
        <v>62</v>
      </c>
      <c r="F70" s="80" t="s">
        <v>61</v>
      </c>
      <c r="G70" s="90"/>
      <c r="H70" s="850"/>
      <c r="I70" s="92"/>
      <c r="J70" s="280"/>
      <c r="K70" s="280"/>
      <c r="L70" s="278"/>
      <c r="M70" s="278"/>
      <c r="N70" s="278"/>
      <c r="O70" s="278"/>
      <c r="P70" s="278"/>
      <c r="Q70" s="278"/>
      <c r="R70" s="278"/>
    </row>
    <row r="71" spans="1:18" s="81" customFormat="1" ht="15" customHeight="1" x14ac:dyDescent="0.25">
      <c r="A71" s="210">
        <f>MAXA(A$34:A70)+1</f>
        <v>26</v>
      </c>
      <c r="B71" s="211"/>
      <c r="C71" s="85" t="s">
        <v>182</v>
      </c>
      <c r="D71" s="559">
        <f>100-D69-D70</f>
        <v>0</v>
      </c>
      <c r="E71" s="559">
        <f>100-E69-E70</f>
        <v>0</v>
      </c>
      <c r="F71" s="80" t="s">
        <v>61</v>
      </c>
      <c r="G71" s="90"/>
      <c r="H71" s="850"/>
      <c r="I71" s="92"/>
      <c r="J71" s="280"/>
      <c r="K71" s="280"/>
      <c r="L71" s="278"/>
      <c r="M71" s="278"/>
      <c r="N71" s="278"/>
      <c r="O71" s="278"/>
      <c r="P71" s="278"/>
      <c r="Q71" s="278"/>
      <c r="R71" s="278"/>
    </row>
    <row r="72" spans="1:18" s="81" customFormat="1" ht="15" customHeight="1" x14ac:dyDescent="0.25">
      <c r="A72" s="210">
        <f>MAXA(A$34:A71)+1</f>
        <v>27</v>
      </c>
      <c r="B72" s="211"/>
      <c r="C72" s="85" t="s">
        <v>189</v>
      </c>
      <c r="D72" s="555">
        <v>82</v>
      </c>
      <c r="E72" s="558">
        <v>82</v>
      </c>
      <c r="F72" s="80" t="s">
        <v>115</v>
      </c>
      <c r="G72" s="90"/>
      <c r="H72" s="850"/>
      <c r="I72" s="92"/>
      <c r="J72" s="280">
        <f>IF(COUNT(D69:D72)=4,(D69*13+D70*30+D71*D72)/100,"-")</f>
        <v>23.2</v>
      </c>
      <c r="K72" s="280">
        <f>IF(COUNT(E69:E72)=4,(E69*13+E70*30+E71*E72)/100,"-")</f>
        <v>23.54</v>
      </c>
      <c r="L72" s="278"/>
      <c r="M72" s="278"/>
      <c r="N72" s="278"/>
      <c r="O72" s="278"/>
      <c r="P72" s="278"/>
      <c r="Q72" s="278"/>
      <c r="R72" s="278"/>
    </row>
    <row r="73" spans="1:18" s="81" customFormat="1" ht="15" customHeight="1" x14ac:dyDescent="0.25">
      <c r="A73" s="210">
        <f>MAXA(A$34:A72)+1</f>
        <v>28</v>
      </c>
      <c r="B73" s="211"/>
      <c r="C73" s="85" t="s">
        <v>183</v>
      </c>
      <c r="D73" s="558"/>
      <c r="E73" s="558"/>
      <c r="F73" s="80" t="s">
        <v>61</v>
      </c>
      <c r="G73" s="90"/>
      <c r="H73" s="850"/>
      <c r="I73" s="92"/>
      <c r="J73" s="280"/>
      <c r="K73" s="280"/>
      <c r="L73" s="278"/>
      <c r="M73" s="278"/>
      <c r="N73" s="278"/>
      <c r="O73" s="278"/>
      <c r="P73" s="278"/>
      <c r="Q73" s="278"/>
      <c r="R73" s="278"/>
    </row>
    <row r="74" spans="1:18" s="81" customFormat="1" ht="15" customHeight="1" x14ac:dyDescent="0.25">
      <c r="A74" s="210">
        <f>MAXA(A$34:A73)+1</f>
        <v>29</v>
      </c>
      <c r="B74" s="211"/>
      <c r="C74" s="85" t="s">
        <v>184</v>
      </c>
      <c r="D74" s="558"/>
      <c r="E74" s="558"/>
      <c r="F74" s="80" t="s">
        <v>61</v>
      </c>
      <c r="G74" s="90"/>
      <c r="H74" s="850"/>
      <c r="I74" s="92"/>
      <c r="J74" s="280"/>
      <c r="K74" s="280"/>
      <c r="L74" s="278"/>
      <c r="M74" s="278"/>
      <c r="N74" s="278"/>
      <c r="O74" s="278"/>
      <c r="P74" s="278"/>
      <c r="Q74" s="278"/>
      <c r="R74" s="278"/>
    </row>
    <row r="75" spans="1:18" s="81" customFormat="1" ht="15" customHeight="1" x14ac:dyDescent="0.25">
      <c r="A75" s="210">
        <f>MAXA(A$34:A74)+1</f>
        <v>30</v>
      </c>
      <c r="B75" s="211"/>
      <c r="C75" s="85" t="s">
        <v>185</v>
      </c>
      <c r="D75" s="559">
        <f>100-D73-D74</f>
        <v>100</v>
      </c>
      <c r="E75" s="559">
        <f>100-E73-E74</f>
        <v>100</v>
      </c>
      <c r="F75" s="80" t="s">
        <v>61</v>
      </c>
      <c r="G75" s="90"/>
      <c r="H75" s="850"/>
      <c r="I75" s="92"/>
      <c r="J75" s="280"/>
      <c r="K75" s="280"/>
      <c r="L75" s="278"/>
      <c r="M75" s="278"/>
      <c r="N75" s="278"/>
      <c r="O75" s="278"/>
      <c r="P75" s="278"/>
      <c r="Q75" s="278"/>
      <c r="R75" s="278"/>
    </row>
    <row r="76" spans="1:18" s="81" customFormat="1" ht="15" customHeight="1" x14ac:dyDescent="0.25">
      <c r="A76" s="210">
        <f>MAXA(A$34:A75)+1</f>
        <v>31</v>
      </c>
      <c r="B76" s="211"/>
      <c r="C76" s="85" t="s">
        <v>190</v>
      </c>
      <c r="D76" s="555"/>
      <c r="E76" s="558"/>
      <c r="F76" s="80" t="s">
        <v>115</v>
      </c>
      <c r="G76" s="90"/>
      <c r="H76" s="850"/>
      <c r="I76" s="92"/>
      <c r="J76" s="280" t="str">
        <f>IF(COUNT(D73:D76)=4,(D73*13+D74*30+D75*D76)/100,"-")</f>
        <v>-</v>
      </c>
      <c r="K76" s="280" t="str">
        <f>IF(COUNT(E73:E76)=4,(E73*13+E74*30+E75*E76)/100,"-")</f>
        <v>-</v>
      </c>
      <c r="L76" s="278"/>
      <c r="M76" s="278"/>
      <c r="N76" s="278"/>
      <c r="O76" s="278"/>
      <c r="P76" s="278"/>
      <c r="Q76" s="278"/>
      <c r="R76" s="278"/>
    </row>
    <row r="77" spans="1:18" s="81" customFormat="1" ht="15" customHeight="1" x14ac:dyDescent="0.25">
      <c r="A77" s="210">
        <f>MAXA(A$34:A76)+1</f>
        <v>32</v>
      </c>
      <c r="B77" s="211"/>
      <c r="C77" s="85" t="s">
        <v>186</v>
      </c>
      <c r="D77" s="558"/>
      <c r="E77" s="558"/>
      <c r="F77" s="80" t="s">
        <v>61</v>
      </c>
      <c r="G77" s="90"/>
      <c r="H77" s="850"/>
      <c r="I77" s="92"/>
      <c r="J77" s="280"/>
      <c r="K77" s="280"/>
      <c r="L77" s="278"/>
      <c r="M77" s="278"/>
      <c r="N77" s="278"/>
      <c r="O77" s="278"/>
      <c r="P77" s="278"/>
      <c r="Q77" s="278"/>
      <c r="R77" s="278"/>
    </row>
    <row r="78" spans="1:18" s="81" customFormat="1" ht="15" customHeight="1" x14ac:dyDescent="0.25">
      <c r="A78" s="210">
        <f>MAXA(A$34:A77)+1</f>
        <v>33</v>
      </c>
      <c r="B78" s="211"/>
      <c r="C78" s="85" t="s">
        <v>187</v>
      </c>
      <c r="D78" s="558"/>
      <c r="E78" s="558"/>
      <c r="F78" s="80" t="s">
        <v>61</v>
      </c>
      <c r="G78" s="90"/>
      <c r="H78" s="850"/>
      <c r="I78" s="92"/>
      <c r="J78" s="280"/>
      <c r="K78" s="280"/>
      <c r="L78" s="278"/>
      <c r="M78" s="278"/>
      <c r="N78" s="278"/>
      <c r="O78" s="278"/>
      <c r="P78" s="278"/>
      <c r="Q78" s="278"/>
      <c r="R78" s="278"/>
    </row>
    <row r="79" spans="1:18" s="81" customFormat="1" ht="15" customHeight="1" x14ac:dyDescent="0.25">
      <c r="A79" s="210">
        <f>MAXA(A$34:A78)+1</f>
        <v>34</v>
      </c>
      <c r="B79" s="211"/>
      <c r="C79" s="85" t="s">
        <v>188</v>
      </c>
      <c r="D79" s="559">
        <f>100-D77-D78</f>
        <v>100</v>
      </c>
      <c r="E79" s="559">
        <f>100-E77-E78</f>
        <v>100</v>
      </c>
      <c r="F79" s="80" t="s">
        <v>61</v>
      </c>
      <c r="G79" s="90"/>
      <c r="H79" s="850"/>
      <c r="I79" s="92"/>
      <c r="J79" s="280"/>
      <c r="K79" s="280"/>
      <c r="L79" s="278"/>
      <c r="M79" s="278"/>
      <c r="N79" s="278"/>
      <c r="O79" s="278"/>
      <c r="P79" s="278"/>
      <c r="Q79" s="278"/>
      <c r="R79" s="278"/>
    </row>
    <row r="80" spans="1:18" s="81" customFormat="1" ht="15" customHeight="1" x14ac:dyDescent="0.25">
      <c r="A80" s="210">
        <f>MAXA(A$34:A79)+1</f>
        <v>35</v>
      </c>
      <c r="B80" s="211"/>
      <c r="C80" s="85" t="s">
        <v>191</v>
      </c>
      <c r="D80" s="555"/>
      <c r="E80" s="558"/>
      <c r="F80" s="80" t="s">
        <v>115</v>
      </c>
      <c r="G80" s="90"/>
      <c r="H80" s="850"/>
      <c r="I80" s="92"/>
      <c r="J80" s="280" t="str">
        <f>IF(COUNT(D77:D80)=4,(D77*13+D78*30+D79*D80)/100,"-")</f>
        <v>-</v>
      </c>
      <c r="K80" s="280" t="str">
        <f>IF(COUNT(E77:E80)=4,(E77*13+E78*30+E79*E80)/100,"-")</f>
        <v>-</v>
      </c>
      <c r="L80" s="278"/>
      <c r="M80" s="278"/>
      <c r="N80" s="278"/>
      <c r="O80" s="278"/>
      <c r="P80" s="278"/>
      <c r="Q80" s="278"/>
      <c r="R80" s="278"/>
    </row>
    <row r="81" spans="1:19" ht="18.75" x14ac:dyDescent="0.25">
      <c r="A81" s="144" t="s">
        <v>5</v>
      </c>
      <c r="B81" s="145"/>
      <c r="D81" s="18"/>
      <c r="E81" s="18"/>
      <c r="F81" s="18"/>
      <c r="G81" s="82"/>
      <c r="I81" s="20"/>
    </row>
    <row r="82" spans="1:19" s="19" customFormat="1" ht="15" hidden="1" customHeight="1" x14ac:dyDescent="0.25">
      <c r="A82" s="161"/>
      <c r="B82" s="132"/>
      <c r="C82" s="22" t="s">
        <v>56</v>
      </c>
      <c r="D82" s="221"/>
      <c r="E82" s="222"/>
      <c r="F82" s="222"/>
      <c r="G82" s="82"/>
      <c r="H82" s="234"/>
      <c r="J82" s="272" t="s">
        <v>195</v>
      </c>
      <c r="K82" s="272" t="s">
        <v>202</v>
      </c>
      <c r="L82" s="280" t="s">
        <v>203</v>
      </c>
      <c r="M82" s="280"/>
      <c r="N82" s="273"/>
      <c r="O82" s="273"/>
      <c r="P82" s="273"/>
      <c r="Q82" s="273"/>
      <c r="R82" s="273"/>
    </row>
    <row r="83" spans="1:19" s="19" customFormat="1" ht="15" hidden="1" customHeight="1" x14ac:dyDescent="0.25">
      <c r="A83" s="163"/>
      <c r="B83" s="132"/>
      <c r="C83" s="22" t="s">
        <v>56</v>
      </c>
      <c r="G83" s="82"/>
      <c r="H83" s="234"/>
      <c r="J83" s="272" t="s">
        <v>201</v>
      </c>
      <c r="K83" s="281">
        <f>COUNT(D34,D40,D41,D47,D57)</f>
        <v>5</v>
      </c>
      <c r="L83" s="280">
        <v>5</v>
      </c>
      <c r="M83" s="280"/>
      <c r="N83" s="273"/>
      <c r="O83" s="280">
        <f>IF(K83=L83,0,1)</f>
        <v>0</v>
      </c>
      <c r="P83" s="280" t="str">
        <f>IF(K83=L83,""," - Oransje celler")</f>
        <v/>
      </c>
      <c r="Q83" s="280"/>
      <c r="R83" s="280"/>
      <c r="S83" s="213"/>
    </row>
    <row r="84" spans="1:19" s="19" customFormat="1" ht="15" hidden="1" customHeight="1" x14ac:dyDescent="0.25">
      <c r="A84" s="163"/>
      <c r="B84" s="132"/>
      <c r="C84" s="22" t="s">
        <v>56</v>
      </c>
      <c r="G84" s="82"/>
      <c r="H84" s="234"/>
      <c r="J84" s="272"/>
      <c r="K84" s="272" t="s">
        <v>516</v>
      </c>
      <c r="L84" s="280" t="s">
        <v>302</v>
      </c>
      <c r="M84" s="280" t="s">
        <v>199</v>
      </c>
      <c r="N84" s="280" t="s">
        <v>507</v>
      </c>
      <c r="O84" s="280" t="s">
        <v>518</v>
      </c>
      <c r="P84" s="280" t="s">
        <v>302</v>
      </c>
      <c r="Q84" s="280" t="s">
        <v>199</v>
      </c>
      <c r="R84" s="280" t="s">
        <v>507</v>
      </c>
      <c r="S84" s="213"/>
    </row>
    <row r="85" spans="1:19" s="19" customFormat="1" ht="15" hidden="1" customHeight="1" x14ac:dyDescent="0.25">
      <c r="A85" s="163"/>
      <c r="B85" s="132"/>
      <c r="C85" s="22" t="s">
        <v>56</v>
      </c>
      <c r="G85" s="310"/>
      <c r="H85" s="234"/>
      <c r="J85" s="272" t="s">
        <v>514</v>
      </c>
      <c r="K85" s="272"/>
      <c r="L85" s="280"/>
      <c r="M85" s="280"/>
      <c r="N85" s="273"/>
      <c r="O85" s="280" t="s">
        <v>517</v>
      </c>
      <c r="P85" s="280"/>
      <c r="Q85" s="280"/>
      <c r="R85" s="280"/>
      <c r="S85" s="213"/>
    </row>
    <row r="86" spans="1:19" s="19" customFormat="1" ht="15" hidden="1" customHeight="1" x14ac:dyDescent="0.25">
      <c r="A86" s="163"/>
      <c r="B86" s="132"/>
      <c r="C86" s="22" t="s">
        <v>56</v>
      </c>
      <c r="G86" s="310"/>
      <c r="H86" s="234"/>
      <c r="J86" s="272" t="s">
        <v>242</v>
      </c>
      <c r="K86" s="272">
        <v>3</v>
      </c>
      <c r="L86" s="272">
        <v>12</v>
      </c>
      <c r="M86" s="272">
        <v>9</v>
      </c>
      <c r="N86" s="272">
        <v>4</v>
      </c>
      <c r="O86" s="280">
        <f t="shared" ref="O86:R88" si="2">IF(D14="Nei",0,IF(K86=K90,0,1))</f>
        <v>0</v>
      </c>
      <c r="P86" s="280">
        <f t="shared" si="2"/>
        <v>0</v>
      </c>
      <c r="Q86" s="280">
        <f t="shared" si="2"/>
        <v>0</v>
      </c>
      <c r="R86" s="280">
        <f t="shared" si="2"/>
        <v>0</v>
      </c>
      <c r="S86" s="213"/>
    </row>
    <row r="87" spans="1:19" s="19" customFormat="1" ht="15" hidden="1" customHeight="1" x14ac:dyDescent="0.25">
      <c r="A87" s="163"/>
      <c r="B87" s="132"/>
      <c r="C87" s="22" t="s">
        <v>56</v>
      </c>
      <c r="G87" s="310"/>
      <c r="H87" s="234"/>
      <c r="J87" s="272" t="s">
        <v>197</v>
      </c>
      <c r="K87" s="272">
        <v>4</v>
      </c>
      <c r="L87" s="272">
        <v>13</v>
      </c>
      <c r="M87" s="272">
        <v>10</v>
      </c>
      <c r="N87" s="272">
        <v>5</v>
      </c>
      <c r="O87" s="280">
        <f t="shared" si="2"/>
        <v>0</v>
      </c>
      <c r="P87" s="280">
        <f t="shared" si="2"/>
        <v>0</v>
      </c>
      <c r="Q87" s="280">
        <f t="shared" si="2"/>
        <v>0</v>
      </c>
      <c r="R87" s="280">
        <f t="shared" si="2"/>
        <v>0</v>
      </c>
      <c r="S87" s="213"/>
    </row>
    <row r="88" spans="1:19" s="19" customFormat="1" ht="15" hidden="1" customHeight="1" x14ac:dyDescent="0.25">
      <c r="A88" s="163"/>
      <c r="B88" s="132"/>
      <c r="C88" s="22" t="s">
        <v>56</v>
      </c>
      <c r="G88" s="310"/>
      <c r="H88" s="234"/>
      <c r="J88" s="272" t="s">
        <v>200</v>
      </c>
      <c r="K88" s="272">
        <v>4</v>
      </c>
      <c r="L88" s="272">
        <v>13</v>
      </c>
      <c r="M88" s="272">
        <v>10</v>
      </c>
      <c r="N88" s="272">
        <v>5</v>
      </c>
      <c r="O88" s="280">
        <f t="shared" si="2"/>
        <v>0</v>
      </c>
      <c r="P88" s="280">
        <f t="shared" si="2"/>
        <v>0</v>
      </c>
      <c r="Q88" s="280">
        <f t="shared" si="2"/>
        <v>0</v>
      </c>
      <c r="R88" s="280">
        <f t="shared" si="2"/>
        <v>0</v>
      </c>
      <c r="S88" s="213"/>
    </row>
    <row r="89" spans="1:19" s="19" customFormat="1" ht="15" hidden="1" customHeight="1" x14ac:dyDescent="0.25">
      <c r="A89" s="163"/>
      <c r="B89" s="132"/>
      <c r="C89" s="22" t="s">
        <v>56</v>
      </c>
      <c r="G89" s="310"/>
      <c r="H89" s="234"/>
      <c r="J89" s="272" t="s">
        <v>515</v>
      </c>
      <c r="K89" s="272"/>
      <c r="L89" s="272"/>
      <c r="M89" s="272"/>
      <c r="N89" s="272"/>
      <c r="O89" s="280" t="s">
        <v>519</v>
      </c>
      <c r="P89" s="280"/>
      <c r="Q89" s="280"/>
      <c r="R89" s="280"/>
      <c r="S89" s="213"/>
    </row>
    <row r="90" spans="1:19" s="19" customFormat="1" ht="15" hidden="1" customHeight="1" x14ac:dyDescent="0.25">
      <c r="A90" s="163"/>
      <c r="B90" s="132"/>
      <c r="C90" s="22" t="s">
        <v>56</v>
      </c>
      <c r="G90" s="310"/>
      <c r="H90" s="234"/>
      <c r="J90" s="272" t="s">
        <v>242</v>
      </c>
      <c r="K90" s="272">
        <f>COUNTA(D44,D46,D66)</f>
        <v>3</v>
      </c>
      <c r="L90" s="272">
        <f>COUNTA(E45,D46,D48:D51,D69:E70,D72:E72)</f>
        <v>12</v>
      </c>
      <c r="M90" s="272">
        <f>COUNTA(D46,D49,D50,D69:E70,D72:E72)</f>
        <v>9</v>
      </c>
      <c r="N90" s="272">
        <f>COUNT(D53:E54)</f>
        <v>4</v>
      </c>
      <c r="O90" s="280" t="str">
        <f t="shared" ref="O90:R92" si="3">IF(O86=1,CONCATENATE(" - ",O$84," (",$J90,")"),"")</f>
        <v/>
      </c>
      <c r="P90" s="280" t="str">
        <f t="shared" si="3"/>
        <v/>
      </c>
      <c r="Q90" s="280" t="str">
        <f t="shared" si="3"/>
        <v/>
      </c>
      <c r="R90" s="280" t="str">
        <f t="shared" si="3"/>
        <v/>
      </c>
      <c r="S90" s="213"/>
    </row>
    <row r="91" spans="1:19" s="19" customFormat="1" ht="15" hidden="1" customHeight="1" x14ac:dyDescent="0.25">
      <c r="A91" s="163"/>
      <c r="B91" s="132"/>
      <c r="C91" s="22" t="s">
        <v>56</v>
      </c>
      <c r="G91" s="310"/>
      <c r="H91" s="234"/>
      <c r="J91" s="272" t="s">
        <v>197</v>
      </c>
      <c r="K91" s="272">
        <f>COUNTA(D44,D46,D66,D58)</f>
        <v>3</v>
      </c>
      <c r="L91" s="272">
        <f>COUNTA(E45,D46,D48:D51,D58,D73:E74,D76:E76)</f>
        <v>6</v>
      </c>
      <c r="M91" s="272">
        <f>COUNTA(D46,D49,D50,D73:E74,D76:E76,D58)</f>
        <v>3</v>
      </c>
      <c r="N91" s="272">
        <f>COUNT(D53:E54,D58)</f>
        <v>4</v>
      </c>
      <c r="O91" s="273" t="str">
        <f t="shared" si="3"/>
        <v/>
      </c>
      <c r="P91" s="273" t="str">
        <f t="shared" si="3"/>
        <v/>
      </c>
      <c r="Q91" s="273" t="str">
        <f t="shared" si="3"/>
        <v/>
      </c>
      <c r="R91" s="273" t="str">
        <f t="shared" si="3"/>
        <v/>
      </c>
    </row>
    <row r="92" spans="1:19" s="19" customFormat="1" ht="15" hidden="1" customHeight="1" x14ac:dyDescent="0.25">
      <c r="A92" s="163"/>
      <c r="B92" s="132"/>
      <c r="C92" s="22" t="s">
        <v>56</v>
      </c>
      <c r="G92" s="310"/>
      <c r="H92" s="234"/>
      <c r="J92" s="272" t="s">
        <v>200</v>
      </c>
      <c r="K92" s="272">
        <f>COUNTA(D44,D46,D66,D59)</f>
        <v>3</v>
      </c>
      <c r="L92" s="272">
        <f>COUNTA(E45,D46,D48:D51,D59,D77:E78,D80:E80)</f>
        <v>6</v>
      </c>
      <c r="M92" s="272">
        <f>COUNTA(D46,D49,D50,D77:E78,D80:E80,D59)</f>
        <v>3</v>
      </c>
      <c r="N92" s="272">
        <f>COUNT(D53:E54,D59)</f>
        <v>4</v>
      </c>
      <c r="O92" s="273" t="str">
        <f t="shared" si="3"/>
        <v/>
      </c>
      <c r="P92" s="273" t="str">
        <f t="shared" si="3"/>
        <v/>
      </c>
      <c r="Q92" s="273" t="str">
        <f t="shared" si="3"/>
        <v/>
      </c>
      <c r="R92" s="273" t="str">
        <f t="shared" si="3"/>
        <v/>
      </c>
    </row>
    <row r="93" spans="1:19" ht="30" customHeight="1" x14ac:dyDescent="0.25">
      <c r="A93" s="149"/>
      <c r="B93" s="145"/>
      <c r="C93" s="233" t="s">
        <v>520</v>
      </c>
      <c r="D93" s="827" t="str">
        <f>IF(SUM(O83,O86:R88)=0,"",CONCATENATE("Det mangler informasjon, sjekk beregningsforutsetninger for: ",P83,O90,O91,O92,P90,P91,P92,Q90,Q91,Q92,R90,R91,R92," eller endre Ja/Nei under 'Nyttekomponenter som inngår…'"))</f>
        <v/>
      </c>
      <c r="E93" s="853"/>
      <c r="F93" s="853"/>
      <c r="G93" s="853"/>
      <c r="H93" s="853"/>
      <c r="I93" s="18"/>
    </row>
    <row r="94" spans="1:19" ht="15" customHeight="1" x14ac:dyDescent="0.25">
      <c r="A94" s="144"/>
      <c r="B94" s="145" t="s">
        <v>112</v>
      </c>
      <c r="D94" s="133" t="s">
        <v>54</v>
      </c>
      <c r="E94" s="133" t="s">
        <v>92</v>
      </c>
      <c r="F94" s="133" t="s">
        <v>93</v>
      </c>
      <c r="I94" s="179"/>
      <c r="J94" s="282"/>
      <c r="K94" s="273"/>
    </row>
    <row r="95" spans="1:19" ht="15" customHeight="1" x14ac:dyDescent="0.25">
      <c r="A95" s="150"/>
      <c r="B95" s="145"/>
      <c r="C95" s="24" t="s">
        <v>80</v>
      </c>
      <c r="D95" s="565">
        <f>IF(COUNT(J72:K72)=2,100*(-1+K72/J72),"-")</f>
        <v>1.4655172413793105</v>
      </c>
      <c r="E95" s="578">
        <f>IF(COUNT(D95)=1,D95-D95*0.25,"-")</f>
        <v>1.0991379310344829</v>
      </c>
      <c r="F95" s="578">
        <f>IF(COUNT(D95)=1,D95+D95*0.25,"-")</f>
        <v>1.8318965517241381</v>
      </c>
      <c r="G95" s="305" t="str">
        <f>CONCATENATE(A95,"-",A97)</f>
        <v>-</v>
      </c>
      <c r="H95" s="851" t="s">
        <v>742</v>
      </c>
      <c r="I95" s="179"/>
      <c r="J95" s="273"/>
      <c r="K95" s="273"/>
    </row>
    <row r="96" spans="1:19" ht="15" customHeight="1" x14ac:dyDescent="0.25">
      <c r="A96" s="150"/>
      <c r="B96" s="145"/>
      <c r="C96" s="24" t="s">
        <v>81</v>
      </c>
      <c r="D96" s="565" t="str">
        <f>IF(COUNT(J76:K76)=2,100*(-1+K76/J76),"-")</f>
        <v>-</v>
      </c>
      <c r="E96" s="578" t="str">
        <f>IF(COUNT(D96)=1,D96-D96*0.25,"-")</f>
        <v>-</v>
      </c>
      <c r="F96" s="578" t="str">
        <f>IF(COUNT(D96)=1,D96+D96*0.25,"-")</f>
        <v>-</v>
      </c>
      <c r="G96" s="82"/>
      <c r="H96" s="850"/>
      <c r="I96" s="179"/>
      <c r="J96" s="273"/>
      <c r="K96" s="273"/>
    </row>
    <row r="97" spans="1:15" ht="15" customHeight="1" x14ac:dyDescent="0.25">
      <c r="A97" s="150"/>
      <c r="B97" s="145"/>
      <c r="C97" s="24" t="s">
        <v>82</v>
      </c>
      <c r="D97" s="565" t="str">
        <f>IF(COUNT(J80,K80)=2,100*(-1+K80/J80),"-")</f>
        <v>-</v>
      </c>
      <c r="E97" s="578" t="str">
        <f>IF(COUNT(D97)=1,D97-D97*0.25,"-")</f>
        <v>-</v>
      </c>
      <c r="F97" s="578" t="str">
        <f>IF(COUNT(D97)=1,D97+D97*0.25,"-")</f>
        <v>-</v>
      </c>
      <c r="G97" s="82"/>
      <c r="H97" s="850"/>
      <c r="I97" s="179"/>
      <c r="J97" s="273"/>
      <c r="K97" s="273"/>
    </row>
    <row r="98" spans="1:15" ht="15" hidden="1" customHeight="1" x14ac:dyDescent="0.25">
      <c r="A98" s="151"/>
      <c r="C98" s="152" t="s">
        <v>89</v>
      </c>
      <c r="D98" s="561">
        <f>D95</f>
        <v>1.4655172413793105</v>
      </c>
      <c r="E98" s="561">
        <f>IF(COUNT(E95,F95)=2,MIN(E95:F95),"")</f>
        <v>1.0991379310344829</v>
      </c>
      <c r="F98" s="561">
        <f>IF(COUNT(E95,F95)=2,MAXA(E95:F95),"")</f>
        <v>1.8318965517241381</v>
      </c>
      <c r="G98" s="311"/>
      <c r="H98" s="32"/>
      <c r="I98" s="179"/>
      <c r="J98" s="273"/>
      <c r="K98" s="273"/>
    </row>
    <row r="99" spans="1:15" ht="15" hidden="1" customHeight="1" x14ac:dyDescent="0.25">
      <c r="A99" s="151"/>
      <c r="C99" s="152" t="s">
        <v>90</v>
      </c>
      <c r="D99" s="561" t="str">
        <f>IF(COUNT(D96)=1,D96,"")</f>
        <v/>
      </c>
      <c r="E99" s="561" t="str">
        <f>IF(COUNT(E96,F96)=2,MIN(E96:F96),"")</f>
        <v/>
      </c>
      <c r="F99" s="561" t="str">
        <f>IF(COUNT(E96,F96)=2,MAXA(E96:F96),"")</f>
        <v/>
      </c>
      <c r="G99" s="311"/>
      <c r="H99" s="32"/>
      <c r="I99" s="179"/>
      <c r="J99" s="273"/>
      <c r="K99" s="273"/>
    </row>
    <row r="100" spans="1:15" ht="15" hidden="1" customHeight="1" x14ac:dyDescent="0.25">
      <c r="A100" s="151"/>
      <c r="C100" s="152" t="s">
        <v>91</v>
      </c>
      <c r="D100" s="561" t="str">
        <f>IF(COUNT(D97)=1,D97,"")</f>
        <v/>
      </c>
      <c r="E100" s="561" t="str">
        <f>IF(COUNT(E97,F97)=2,MIN(E97:F97),"")</f>
        <v/>
      </c>
      <c r="F100" s="561" t="str">
        <f>IF(COUNT(E97,F97)=2,MAXA(E97:F97),"")</f>
        <v/>
      </c>
      <c r="G100" s="311"/>
      <c r="H100" s="32"/>
      <c r="I100" s="179"/>
      <c r="J100" s="273"/>
      <c r="K100" s="273"/>
    </row>
    <row r="101" spans="1:15" ht="6" customHeight="1" x14ac:dyDescent="0.25">
      <c r="A101" s="153"/>
      <c r="B101" s="18"/>
      <c r="D101" s="562"/>
      <c r="E101" s="562"/>
      <c r="F101" s="562"/>
      <c r="G101" s="82"/>
      <c r="H101" s="178"/>
      <c r="I101" s="20"/>
      <c r="J101" s="273"/>
      <c r="K101" s="273"/>
    </row>
    <row r="102" spans="1:15" ht="15" customHeight="1" x14ac:dyDescent="0.25">
      <c r="A102" s="153"/>
      <c r="B102" s="145" t="s">
        <v>125</v>
      </c>
      <c r="D102" s="579" t="s">
        <v>54</v>
      </c>
      <c r="E102" s="579" t="s">
        <v>92</v>
      </c>
      <c r="F102" s="579" t="s">
        <v>93</v>
      </c>
      <c r="G102" s="82"/>
      <c r="H102" s="178"/>
      <c r="I102" s="179"/>
      <c r="J102" s="282"/>
      <c r="K102" s="282"/>
    </row>
    <row r="103" spans="1:15" ht="15" customHeight="1" x14ac:dyDescent="0.25">
      <c r="A103" s="149">
        <f>MAXA(A$34:A101)+1</f>
        <v>36</v>
      </c>
      <c r="C103" s="24" t="s">
        <v>102</v>
      </c>
      <c r="D103" s="514">
        <f>IF(D14="Ja",(D46/1000)*D47*365*(D57/100)*D62*(-D67/100)*K37/1000000,0)</f>
        <v>1.6246167302815697</v>
      </c>
      <c r="E103" s="515">
        <f>IF(D14="Ja",IF(COUNT(E67:F67)=2,(D46/1000)*D47*365*(D57/100)*D62*(-E67/100)*K37/1000000,D103),0)</f>
        <v>0.67692363761732077</v>
      </c>
      <c r="F103" s="515">
        <f>IF(D14="Ja",IF(COUNT(E67:F67)=2,(D46/1000)*D47*365*(D57/100)*D62*(-F67/100)*K37/1000000,D103),0)</f>
        <v>2.5046174591840864</v>
      </c>
      <c r="G103" s="305" t="str">
        <f>CONCATENATE(A103,"-",A106)</f>
        <v>36-39</v>
      </c>
      <c r="H103" s="813" t="s">
        <v>949</v>
      </c>
      <c r="I103" s="20"/>
      <c r="J103" s="290"/>
      <c r="K103" s="291"/>
      <c r="L103" s="290"/>
      <c r="M103" s="291"/>
      <c r="N103" s="290"/>
      <c r="O103" s="291"/>
    </row>
    <row r="104" spans="1:15" ht="15" customHeight="1" x14ac:dyDescent="0.25">
      <c r="A104" s="149">
        <f>MAXA(A$34:A103)+1</f>
        <v>37</v>
      </c>
      <c r="C104" s="24" t="s">
        <v>103</v>
      </c>
      <c r="D104" s="514">
        <f>IF(D15="Ja",(D46/1000)*D47*365*(D58/100)*D63*(-D67/100)*K37/1000000,0)</f>
        <v>0</v>
      </c>
      <c r="E104" s="515">
        <f>IF(D15="Ja",IF(COUNT(E67:F67)=2,(D46/1000)*D47*365*(D58/100)*D63*(-E67/100)*K37/1000000,D103),0)</f>
        <v>0</v>
      </c>
      <c r="F104" s="515">
        <f>IF(D15="Ja",IF(COUNT(E67:F67)=2,(D46/1000)*D47*365*(D58/100)*D63*(-F67/100)*K37/1000000,D103),0)</f>
        <v>0</v>
      </c>
      <c r="G104" s="223"/>
      <c r="H104" s="813"/>
      <c r="I104" s="20"/>
      <c r="J104" s="290"/>
      <c r="K104" s="291"/>
      <c r="L104" s="290"/>
      <c r="M104" s="291"/>
      <c r="N104" s="290"/>
      <c r="O104" s="291"/>
    </row>
    <row r="105" spans="1:15" ht="15" customHeight="1" x14ac:dyDescent="0.25">
      <c r="A105" s="149">
        <f>MAXA(A$34:A104)+1</f>
        <v>38</v>
      </c>
      <c r="C105" s="24" t="s">
        <v>104</v>
      </c>
      <c r="D105" s="514">
        <f>IF(D16="Ja",(D46/1000)*D47*365*(D59/100)*D64*(-D67/100)*K37/1000000,0)</f>
        <v>0</v>
      </c>
      <c r="E105" s="515">
        <f>IF(D16="Ja",IF(COUNT(E67:F67)=2,(D46/1000)*D47*365*(D59/100)*D64*(-E67/100)*K37/1000000,D103),0)</f>
        <v>0</v>
      </c>
      <c r="F105" s="515">
        <f>IF(D16="Ja",IF(COUNT(E67:F67)=2,(D46/1000)*D47*365*(D59/100)*D64*(-F67/100)*K37/1000000,D103),0)</f>
        <v>0</v>
      </c>
      <c r="G105" s="223"/>
      <c r="H105" s="813"/>
      <c r="I105" s="20"/>
      <c r="J105" s="290"/>
      <c r="K105" s="291"/>
      <c r="L105" s="290"/>
      <c r="M105" s="291"/>
      <c r="N105" s="290"/>
      <c r="O105" s="291"/>
    </row>
    <row r="106" spans="1:15" ht="15" customHeight="1" x14ac:dyDescent="0.25">
      <c r="A106" s="149">
        <f>MAXA(A$34:A105)+1</f>
        <v>39</v>
      </c>
      <c r="C106" s="24" t="s">
        <v>105</v>
      </c>
      <c r="D106" s="514">
        <f>SUM(D103:D105)</f>
        <v>1.6246167302815697</v>
      </c>
      <c r="E106" s="515">
        <f>SUM(E103:E105)</f>
        <v>0.67692363761732077</v>
      </c>
      <c r="F106" s="515">
        <f>SUM(F103:F105)</f>
        <v>2.5046174591840864</v>
      </c>
      <c r="G106" s="223"/>
      <c r="H106" s="813"/>
      <c r="I106" s="20"/>
      <c r="J106" s="290"/>
      <c r="K106" s="291"/>
      <c r="L106" s="290"/>
      <c r="M106" s="291"/>
      <c r="N106" s="290"/>
      <c r="O106" s="291"/>
    </row>
    <row r="107" spans="1:15" ht="15.75" x14ac:dyDescent="0.25">
      <c r="A107" s="153"/>
      <c r="B107" s="145" t="s">
        <v>325</v>
      </c>
      <c r="D107" s="564" t="s">
        <v>260</v>
      </c>
      <c r="E107" s="564" t="s">
        <v>262</v>
      </c>
      <c r="F107" s="564" t="s">
        <v>263</v>
      </c>
      <c r="G107" s="223"/>
      <c r="H107" s="404"/>
      <c r="I107" s="20"/>
    </row>
    <row r="108" spans="1:15" ht="15.75" x14ac:dyDescent="0.25">
      <c r="A108" s="150">
        <f>MAXA(A$34:A103)+1</f>
        <v>37</v>
      </c>
      <c r="B108" s="145"/>
      <c r="C108" s="24" t="s">
        <v>463</v>
      </c>
      <c r="D108" s="565">
        <f>IF(AND($E14="Ja",$D57&gt;0),'Miljøberegning køvarsling'!O87,0)</f>
        <v>-1.082863721999594</v>
      </c>
      <c r="E108" s="565">
        <f>IF(AND($E14="Ja",$D57&gt;0),'Miljøberegning køvarsling'!Q87,0)</f>
        <v>-1.1918193903760921</v>
      </c>
      <c r="F108" s="565">
        <f>IF(AND($E14="Ja",$D57&gt;0),'Miljøberegning køvarsling'!R87,0)</f>
        <v>-1.048084687136408</v>
      </c>
      <c r="G108" s="305" t="str">
        <f>CONCATENATE(A108,"-",A110)</f>
        <v>37-39</v>
      </c>
      <c r="H108" s="813" t="s">
        <v>462</v>
      </c>
      <c r="I108" s="231"/>
    </row>
    <row r="109" spans="1:15" ht="15.75" x14ac:dyDescent="0.25">
      <c r="A109" s="150">
        <f>MAXA(A$34:A104)+1</f>
        <v>38</v>
      </c>
      <c r="B109" s="145"/>
      <c r="C109" s="24" t="s">
        <v>464</v>
      </c>
      <c r="D109" s="565">
        <f>IF(AND($E15="Ja",$D58&gt;0),'Miljøberegning køvarsling'!O88,0)</f>
        <v>0</v>
      </c>
      <c r="E109" s="565">
        <f>IF(AND($E15="Ja",$D58&gt;0),'Miljøberegning køvarsling'!Q88,0)</f>
        <v>0</v>
      </c>
      <c r="F109" s="565">
        <f>IF(AND($E15="Ja",$D58&gt;0),'Miljøberegning køvarsling'!R88,0)</f>
        <v>0</v>
      </c>
      <c r="G109" s="223"/>
      <c r="H109" s="813"/>
      <c r="I109" s="231"/>
    </row>
    <row r="110" spans="1:15" ht="15.75" x14ac:dyDescent="0.25">
      <c r="A110" s="150">
        <f>MAXA(A$34:A105)+1</f>
        <v>39</v>
      </c>
      <c r="B110" s="145"/>
      <c r="C110" s="24" t="s">
        <v>465</v>
      </c>
      <c r="D110" s="565">
        <f>IF(AND($E16="Ja",$D59&gt;0),'Miljøberegning køvarsling'!O89,0)</f>
        <v>0</v>
      </c>
      <c r="E110" s="565">
        <f>IF(AND($E16="Ja",$D59&gt;0),'Miljøberegning køvarsling'!Q89,0)</f>
        <v>0</v>
      </c>
      <c r="F110" s="565">
        <f>IF(AND($E16="Ja",$D59&gt;0),'Miljøberegning køvarsling'!R89,0)</f>
        <v>0</v>
      </c>
      <c r="G110" s="223"/>
      <c r="H110" s="813"/>
      <c r="I110" s="231"/>
    </row>
    <row r="111" spans="1:15" ht="3.95" customHeight="1" x14ac:dyDescent="0.25">
      <c r="A111" s="153"/>
      <c r="B111" s="145"/>
      <c r="D111" s="536"/>
      <c r="E111" s="536"/>
      <c r="F111" s="536"/>
      <c r="G111" s="223"/>
      <c r="I111" s="231"/>
    </row>
    <row r="112" spans="1:15" ht="15.75" x14ac:dyDescent="0.25">
      <c r="A112" s="150">
        <f>MAXA(A$34:A107)+1</f>
        <v>40</v>
      </c>
      <c r="B112" s="145"/>
      <c r="C112" s="24" t="s">
        <v>290</v>
      </c>
      <c r="D112" s="514">
        <f>IF($E14="Ja",D116*$K$37/1000000,0)</f>
        <v>1.07971353154684</v>
      </c>
      <c r="E112" s="580"/>
      <c r="F112" s="531"/>
      <c r="G112" s="305" t="str">
        <f>CONCATENATE(A112,"-",A115)</f>
        <v>40-43</v>
      </c>
      <c r="H112" s="813" t="s">
        <v>870</v>
      </c>
      <c r="I112" s="20"/>
    </row>
    <row r="113" spans="1:13" ht="15.75" x14ac:dyDescent="0.25">
      <c r="A113" s="150">
        <f>MAXA(A$34:A112)+1</f>
        <v>41</v>
      </c>
      <c r="B113" s="145"/>
      <c r="C113" s="24" t="s">
        <v>291</v>
      </c>
      <c r="D113" s="514">
        <f>IF($E15="Ja",D117*$K$37/1000000,0)</f>
        <v>0</v>
      </c>
      <c r="E113" s="580"/>
      <c r="F113" s="531"/>
      <c r="G113" s="223"/>
      <c r="H113" s="813"/>
      <c r="I113" s="20"/>
    </row>
    <row r="114" spans="1:13" ht="15.75" x14ac:dyDescent="0.25">
      <c r="A114" s="150">
        <f>MAXA(A$34:A113)+1</f>
        <v>42</v>
      </c>
      <c r="B114" s="145"/>
      <c r="C114" s="24" t="s">
        <v>292</v>
      </c>
      <c r="D114" s="514">
        <f>IF($E16="Ja",D118*$K$37/1000000,0)</f>
        <v>0</v>
      </c>
      <c r="E114" s="580"/>
      <c r="F114" s="531"/>
      <c r="G114" s="223"/>
      <c r="H114" s="813"/>
      <c r="I114" s="20"/>
    </row>
    <row r="115" spans="1:13" ht="15.75" x14ac:dyDescent="0.25">
      <c r="A115" s="150">
        <f>MAXA(A$34:A114)+1</f>
        <v>43</v>
      </c>
      <c r="B115" s="145"/>
      <c r="C115" s="24" t="s">
        <v>293</v>
      </c>
      <c r="D115" s="514">
        <f>SUM(D112:D114)</f>
        <v>1.07971353154684</v>
      </c>
      <c r="E115" s="580"/>
      <c r="F115" s="531"/>
      <c r="G115" s="223"/>
      <c r="H115" s="813"/>
      <c r="I115" s="20"/>
      <c r="J115" s="290"/>
      <c r="K115" s="291"/>
    </row>
    <row r="116" spans="1:13" ht="15.75" hidden="1" x14ac:dyDescent="0.25">
      <c r="A116" s="153"/>
      <c r="B116" s="145"/>
      <c r="C116" s="152" t="s">
        <v>56</v>
      </c>
      <c r="D116" s="566">
        <f>-'Miljøberegning køvarsling'!S81</f>
        <v>102396.88042312072</v>
      </c>
      <c r="E116" s="566"/>
      <c r="F116" s="566"/>
      <c r="G116" s="223"/>
      <c r="H116" s="19" t="s">
        <v>301</v>
      </c>
    </row>
    <row r="117" spans="1:13" ht="15.75" hidden="1" x14ac:dyDescent="0.25">
      <c r="A117" s="153"/>
      <c r="B117" s="145"/>
      <c r="C117" s="152" t="s">
        <v>56</v>
      </c>
      <c r="D117" s="566">
        <f>-'Miljøberegning køvarsling'!S82</f>
        <v>0</v>
      </c>
      <c r="E117" s="566"/>
      <c r="F117" s="566"/>
      <c r="G117" s="223"/>
      <c r="H117" s="19" t="s">
        <v>301</v>
      </c>
    </row>
    <row r="118" spans="1:13" ht="15.75" hidden="1" x14ac:dyDescent="0.25">
      <c r="A118" s="153"/>
      <c r="B118" s="145"/>
      <c r="C118" s="152" t="s">
        <v>56</v>
      </c>
      <c r="D118" s="566">
        <f>-'Miljøberegning køvarsling'!S83</f>
        <v>0</v>
      </c>
      <c r="E118" s="566"/>
      <c r="F118" s="566"/>
      <c r="G118" s="223"/>
      <c r="H118" s="19" t="s">
        <v>301</v>
      </c>
    </row>
    <row r="119" spans="1:13" ht="15.75" x14ac:dyDescent="0.25">
      <c r="A119" s="153"/>
      <c r="B119" s="145" t="s">
        <v>130</v>
      </c>
      <c r="D119" s="563" t="s">
        <v>54</v>
      </c>
      <c r="E119" s="563" t="s">
        <v>92</v>
      </c>
      <c r="F119" s="563" t="s">
        <v>93</v>
      </c>
      <c r="G119" s="223"/>
      <c r="H119" s="404"/>
      <c r="I119" s="20"/>
      <c r="J119" s="272" t="s">
        <v>45</v>
      </c>
      <c r="K119" s="272" t="s">
        <v>300</v>
      </c>
      <c r="L119" s="272" t="s">
        <v>87</v>
      </c>
      <c r="M119" s="272" t="s">
        <v>86</v>
      </c>
    </row>
    <row r="120" spans="1:13" x14ac:dyDescent="0.25">
      <c r="A120" s="149">
        <f>MAXA(A$34:A119)+1</f>
        <v>44</v>
      </c>
      <c r="C120" s="24" t="s">
        <v>83</v>
      </c>
      <c r="D120" s="522">
        <f>IF(F14="ja",K120-$J120,0)</f>
        <v>-0.1867694020449413</v>
      </c>
      <c r="E120" s="523">
        <f>IF(F14="ja",IF(COUNT(E98,F98)=2,L120-$J120,""),0)</f>
        <v>-0.14058468527407264</v>
      </c>
      <c r="F120" s="523">
        <f>IF(F14="ja",IF(COUNT(E98,F98)=2,M120-$J120,""),0)</f>
        <v>-0.23262178434591796</v>
      </c>
      <c r="G120" s="305" t="str">
        <f>CONCATENATE(A120,"-",A122)</f>
        <v>44-46</v>
      </c>
      <c r="H120" s="813" t="s">
        <v>748</v>
      </c>
      <c r="I120" s="20"/>
      <c r="J120" s="277">
        <f>(D$46/(J72*1000))*60</f>
        <v>12.931034482758619</v>
      </c>
      <c r="K120" s="277">
        <f>(D46/(J72*((100+D98)/100)*1000))*60</f>
        <v>12.744265080713678</v>
      </c>
      <c r="L120" s="277">
        <f>(D46/(J72*((100+E98)/100)*1000))*60</f>
        <v>12.790449797484547</v>
      </c>
      <c r="M120" s="277">
        <f>(D46/(J72*((100+F98)/100)*1000))*60</f>
        <v>12.698412698412701</v>
      </c>
    </row>
    <row r="121" spans="1:13" x14ac:dyDescent="0.25">
      <c r="A121" s="149">
        <f>MAXA(A$34:A120)+1</f>
        <v>45</v>
      </c>
      <c r="C121" s="24" t="s">
        <v>84</v>
      </c>
      <c r="D121" s="522">
        <f>IF(F15="ja",K121-J121,0)</f>
        <v>0</v>
      </c>
      <c r="E121" s="523">
        <f>IF(F15="ja",IF(COUNT(E99,F99)=2,L121-$J121,""),0)</f>
        <v>0</v>
      </c>
      <c r="F121" s="523">
        <f>IF(F15="ja",IF(COUNT(E99,F99)=2,M121-$J121,""),0)</f>
        <v>0</v>
      </c>
      <c r="G121" s="223"/>
      <c r="H121" s="813"/>
      <c r="I121" s="20"/>
      <c r="J121" s="277" t="e">
        <f>(D$46/(J76*1000))*60</f>
        <v>#VALUE!</v>
      </c>
      <c r="K121" s="277" t="e">
        <f>(D46/(J76*((100+D99)/100)*1000))*60</f>
        <v>#VALUE!</v>
      </c>
      <c r="L121" s="277" t="e">
        <f>(D46/(J76*((100+E99)/100)*1000))*60</f>
        <v>#VALUE!</v>
      </c>
      <c r="M121" s="277" t="e">
        <f>(D46/(J76*((100+F99)/100)*1000))*60</f>
        <v>#VALUE!</v>
      </c>
    </row>
    <row r="122" spans="1:13" x14ac:dyDescent="0.25">
      <c r="A122" s="149">
        <f>MAXA(A$34:A121)+1</f>
        <v>46</v>
      </c>
      <c r="C122" s="24" t="s">
        <v>85</v>
      </c>
      <c r="D122" s="522">
        <f>IF(F16="ja",K122-J122,0)</f>
        <v>0</v>
      </c>
      <c r="E122" s="523">
        <f>IF(F16="ja",IF(COUNT(E100,F100)=2,L122-$J122,""),0)</f>
        <v>0</v>
      </c>
      <c r="F122" s="523">
        <f>IF(F16="ja",IF(COUNT(E100,F100)=2,M122-$J122,""),0)</f>
        <v>0</v>
      </c>
      <c r="G122" s="223"/>
      <c r="H122" s="813"/>
      <c r="I122" s="20"/>
      <c r="J122" s="277" t="e">
        <f>(D$46/(J80*1000))*60</f>
        <v>#VALUE!</v>
      </c>
      <c r="K122" s="277" t="e">
        <f>(D46/(J80*((100+D100)/100)*1000))*60</f>
        <v>#VALUE!</v>
      </c>
      <c r="L122" s="277" t="e">
        <f>(D46/(J80*((100+E100)/100)*1000))*60</f>
        <v>#VALUE!</v>
      </c>
      <c r="M122" s="277" t="e">
        <f>(D46/(J80*((100+F100)/100)*1000))*60</f>
        <v>#VALUE!</v>
      </c>
    </row>
    <row r="123" spans="1:13" hidden="1" x14ac:dyDescent="0.25">
      <c r="A123" s="153"/>
      <c r="C123" s="152" t="s">
        <v>56</v>
      </c>
      <c r="D123" s="581">
        <f>(D120/60)*'Data-beregninger'!$C$57</f>
        <v>-0.69260451223658892</v>
      </c>
      <c r="E123" s="581">
        <f>(E120/60)*'Data-beregninger'!$C$57</f>
        <v>-0.52133586286662703</v>
      </c>
      <c r="F123" s="581">
        <f>(F120/60)*'Data-beregninger'!$C$57</f>
        <v>-0.86264075227772741</v>
      </c>
      <c r="G123" s="223"/>
      <c r="H123" s="88" t="s">
        <v>297</v>
      </c>
      <c r="J123" s="273" t="s">
        <v>88</v>
      </c>
      <c r="K123" s="273"/>
    </row>
    <row r="124" spans="1:13" hidden="1" x14ac:dyDescent="0.25">
      <c r="A124" s="153"/>
      <c r="C124" s="152" t="s">
        <v>56</v>
      </c>
      <c r="D124" s="581">
        <f>(D121/60)*'Data-beregninger'!$C$57</f>
        <v>0</v>
      </c>
      <c r="E124" s="581">
        <f>(E121/60)*'Data-beregninger'!$C$57</f>
        <v>0</v>
      </c>
      <c r="F124" s="581">
        <f>(F121/60)*'Data-beregninger'!$C$57</f>
        <v>0</v>
      </c>
      <c r="G124" s="223"/>
      <c r="H124" s="88" t="s">
        <v>297</v>
      </c>
      <c r="J124" s="273" t="s">
        <v>88</v>
      </c>
      <c r="K124" s="273"/>
    </row>
    <row r="125" spans="1:13" hidden="1" x14ac:dyDescent="0.25">
      <c r="A125" s="153"/>
      <c r="C125" s="152" t="s">
        <v>56</v>
      </c>
      <c r="D125" s="581">
        <f>(D122/60)*'Data-beregninger'!$C$57</f>
        <v>0</v>
      </c>
      <c r="E125" s="581">
        <f>(E122/60)*'Data-beregninger'!$C$57</f>
        <v>0</v>
      </c>
      <c r="F125" s="581">
        <f>(F122/60)*'Data-beregninger'!$C$57</f>
        <v>0</v>
      </c>
      <c r="G125" s="223"/>
      <c r="H125" s="88" t="s">
        <v>297</v>
      </c>
      <c r="J125" s="273" t="s">
        <v>88</v>
      </c>
      <c r="K125" s="273"/>
    </row>
    <row r="126" spans="1:13" hidden="1" x14ac:dyDescent="0.25">
      <c r="A126" s="153"/>
      <c r="C126" s="152" t="s">
        <v>56</v>
      </c>
      <c r="D126" s="581">
        <f>(D120/60)*'Data-beregninger'!$C$58</f>
        <v>-2.2987016668800293</v>
      </c>
      <c r="E126" s="581">
        <f>(E120/60)*'Data-beregninger'!$C$58</f>
        <v>-1.7302740536672827</v>
      </c>
      <c r="F126" s="581">
        <f>(F120/60)*'Data-beregninger'!$C$58</f>
        <v>-2.8630390073203724</v>
      </c>
      <c r="G126" s="223"/>
      <c r="H126" s="88" t="s">
        <v>298</v>
      </c>
      <c r="J126" s="273" t="s">
        <v>88</v>
      </c>
      <c r="K126" s="273"/>
    </row>
    <row r="127" spans="1:13" hidden="1" x14ac:dyDescent="0.25">
      <c r="A127" s="153"/>
      <c r="C127" s="152" t="s">
        <v>56</v>
      </c>
      <c r="D127" s="581">
        <f>(D121/60)*'Data-beregninger'!$C$58</f>
        <v>0</v>
      </c>
      <c r="E127" s="581">
        <f>(E121/60)*'Data-beregninger'!$C$58</f>
        <v>0</v>
      </c>
      <c r="F127" s="581">
        <f>(F121/60)*'Data-beregninger'!$C$58</f>
        <v>0</v>
      </c>
      <c r="G127" s="223"/>
      <c r="H127" s="88" t="s">
        <v>298</v>
      </c>
      <c r="J127" s="273" t="s">
        <v>88</v>
      </c>
      <c r="K127" s="273"/>
    </row>
    <row r="128" spans="1:13" hidden="1" x14ac:dyDescent="0.25">
      <c r="A128" s="153"/>
      <c r="C128" s="152" t="s">
        <v>56</v>
      </c>
      <c r="D128" s="581">
        <f>(D122/60)*'Data-beregninger'!$C$58</f>
        <v>0</v>
      </c>
      <c r="E128" s="581">
        <f>(E122/60)*'Data-beregninger'!$C$58</f>
        <v>0</v>
      </c>
      <c r="F128" s="581">
        <f>(F122/60)*'Data-beregninger'!$C$58</f>
        <v>0</v>
      </c>
      <c r="G128" s="223"/>
      <c r="H128" s="88" t="s">
        <v>298</v>
      </c>
      <c r="J128" s="273" t="s">
        <v>88</v>
      </c>
      <c r="K128" s="273"/>
    </row>
    <row r="129" spans="1:18" hidden="1" x14ac:dyDescent="0.25">
      <c r="A129" s="153"/>
      <c r="C129" s="152" t="s">
        <v>56</v>
      </c>
      <c r="D129" s="581">
        <f>(D120/60)*'Data-beregninger'!$C$59</f>
        <v>-2.0746612632935806</v>
      </c>
      <c r="E129" s="581">
        <f>(E120/60)*'Data-beregninger'!$C$59</f>
        <v>-1.56163481575133</v>
      </c>
      <c r="F129" s="581">
        <f>(F120/60)*'Data-beregninger'!$C$59</f>
        <v>-2.5839960919539746</v>
      </c>
      <c r="G129" s="223"/>
      <c r="H129" s="88" t="s">
        <v>299</v>
      </c>
      <c r="J129" s="273" t="s">
        <v>88</v>
      </c>
      <c r="K129" s="273"/>
    </row>
    <row r="130" spans="1:18" hidden="1" x14ac:dyDescent="0.25">
      <c r="A130" s="153"/>
      <c r="C130" s="152" t="s">
        <v>56</v>
      </c>
      <c r="D130" s="581">
        <f>(D121/60)*'Data-beregninger'!$C$59</f>
        <v>0</v>
      </c>
      <c r="E130" s="581">
        <f>(E121/60)*'Data-beregninger'!$C$59</f>
        <v>0</v>
      </c>
      <c r="F130" s="581">
        <f>(F121/60)*'Data-beregninger'!$C$59</f>
        <v>0</v>
      </c>
      <c r="G130" s="223"/>
      <c r="H130" s="88" t="s">
        <v>299</v>
      </c>
      <c r="J130" s="273" t="s">
        <v>88</v>
      </c>
      <c r="K130" s="273"/>
    </row>
    <row r="131" spans="1:18" hidden="1" x14ac:dyDescent="0.25">
      <c r="A131" s="153"/>
      <c r="C131" s="152" t="s">
        <v>56</v>
      </c>
      <c r="D131" s="581">
        <f>(D122/60)*'Data-beregninger'!$C$59</f>
        <v>0</v>
      </c>
      <c r="E131" s="581">
        <f>(E122/60)*'Data-beregninger'!$C$59</f>
        <v>0</v>
      </c>
      <c r="F131" s="581">
        <f>(F122/60)*'Data-beregninger'!$C$59</f>
        <v>0</v>
      </c>
      <c r="G131" s="223"/>
      <c r="H131" s="88" t="s">
        <v>299</v>
      </c>
      <c r="J131" s="273" t="s">
        <v>88</v>
      </c>
      <c r="K131" s="273"/>
    </row>
    <row r="132" spans="1:18" hidden="1" x14ac:dyDescent="0.25">
      <c r="A132" s="153"/>
      <c r="C132" s="152" t="s">
        <v>56</v>
      </c>
      <c r="D132" s="582">
        <f t="shared" ref="D132:F134" si="4">D123*$D$47*365*((100-$D$49-$D$50)/100)*($D57/100)</f>
        <v>-3336968.5399558856</v>
      </c>
      <c r="E132" s="582">
        <f t="shared" si="4"/>
        <v>-2511796.1872914089</v>
      </c>
      <c r="F132" s="582">
        <f t="shared" si="4"/>
        <v>-4156203.1444740905</v>
      </c>
      <c r="G132" s="223"/>
      <c r="H132" s="88" t="s">
        <v>294</v>
      </c>
      <c r="J132" s="273" t="s">
        <v>88</v>
      </c>
      <c r="K132" s="273"/>
    </row>
    <row r="133" spans="1:18" hidden="1" x14ac:dyDescent="0.25">
      <c r="A133" s="153"/>
      <c r="C133" s="152" t="s">
        <v>56</v>
      </c>
      <c r="D133" s="582">
        <f t="shared" si="4"/>
        <v>0</v>
      </c>
      <c r="E133" s="582">
        <f t="shared" si="4"/>
        <v>0</v>
      </c>
      <c r="F133" s="582">
        <f t="shared" si="4"/>
        <v>0</v>
      </c>
      <c r="G133" s="223"/>
      <c r="H133" s="88" t="s">
        <v>294</v>
      </c>
      <c r="J133" s="273" t="s">
        <v>88</v>
      </c>
      <c r="K133" s="273"/>
    </row>
    <row r="134" spans="1:18" hidden="1" x14ac:dyDescent="0.25">
      <c r="A134" s="153"/>
      <c r="C134" s="152" t="s">
        <v>56</v>
      </c>
      <c r="D134" s="582">
        <f t="shared" si="4"/>
        <v>0</v>
      </c>
      <c r="E134" s="582">
        <f t="shared" si="4"/>
        <v>0</v>
      </c>
      <c r="F134" s="582">
        <f t="shared" si="4"/>
        <v>0</v>
      </c>
      <c r="G134" s="223"/>
      <c r="H134" s="88" t="s">
        <v>294</v>
      </c>
      <c r="J134" s="273" t="s">
        <v>88</v>
      </c>
      <c r="K134" s="273"/>
    </row>
    <row r="135" spans="1:18" hidden="1" x14ac:dyDescent="0.25">
      <c r="A135" s="153"/>
      <c r="C135" s="152" t="s">
        <v>56</v>
      </c>
      <c r="D135" s="582">
        <f t="shared" ref="D135:F137" si="5">D123*$D$47*365*($D$50/100)*($D57/100)</f>
        <v>-75840.194089906479</v>
      </c>
      <c r="E135" s="582">
        <f t="shared" si="5"/>
        <v>-57086.276983895652</v>
      </c>
      <c r="F135" s="582">
        <f t="shared" si="5"/>
        <v>-94459.162374411142</v>
      </c>
      <c r="G135" s="223"/>
      <c r="H135" s="88" t="s">
        <v>295</v>
      </c>
      <c r="J135" s="273" t="s">
        <v>88</v>
      </c>
      <c r="K135" s="273"/>
    </row>
    <row r="136" spans="1:18" hidden="1" x14ac:dyDescent="0.25">
      <c r="A136" s="153"/>
      <c r="C136" s="152" t="s">
        <v>56</v>
      </c>
      <c r="D136" s="582">
        <f t="shared" si="5"/>
        <v>0</v>
      </c>
      <c r="E136" s="582">
        <f t="shared" si="5"/>
        <v>0</v>
      </c>
      <c r="F136" s="582">
        <f t="shared" si="5"/>
        <v>0</v>
      </c>
      <c r="G136" s="223"/>
      <c r="H136" s="88" t="s">
        <v>295</v>
      </c>
      <c r="J136" s="273" t="s">
        <v>88</v>
      </c>
      <c r="K136" s="273"/>
    </row>
    <row r="137" spans="1:18" hidden="1" x14ac:dyDescent="0.25">
      <c r="A137" s="153"/>
      <c r="C137" s="152" t="s">
        <v>56</v>
      </c>
      <c r="D137" s="582">
        <f t="shared" si="5"/>
        <v>0</v>
      </c>
      <c r="E137" s="582">
        <f t="shared" si="5"/>
        <v>0</v>
      </c>
      <c r="F137" s="582">
        <f t="shared" si="5"/>
        <v>0</v>
      </c>
      <c r="G137" s="223"/>
      <c r="H137" s="88" t="s">
        <v>295</v>
      </c>
      <c r="J137" s="273" t="s">
        <v>88</v>
      </c>
      <c r="K137" s="273"/>
    </row>
    <row r="138" spans="1:18" hidden="1" x14ac:dyDescent="0.25">
      <c r="A138" s="153"/>
      <c r="C138" s="152" t="s">
        <v>56</v>
      </c>
      <c r="D138" s="582">
        <f t="shared" ref="D138:F140" si="6">D123*$D$47*365*($D$49/100)*($D57/100)</f>
        <v>-379200.97044953244</v>
      </c>
      <c r="E138" s="582">
        <f t="shared" si="6"/>
        <v>-285431.38491947833</v>
      </c>
      <c r="F138" s="582">
        <f t="shared" si="6"/>
        <v>-472295.81187205575</v>
      </c>
      <c r="G138" s="223"/>
      <c r="H138" s="88" t="s">
        <v>296</v>
      </c>
      <c r="J138" s="273" t="s">
        <v>88</v>
      </c>
      <c r="K138" s="273"/>
    </row>
    <row r="139" spans="1:18" hidden="1" x14ac:dyDescent="0.25">
      <c r="A139" s="153"/>
      <c r="C139" s="152" t="s">
        <v>56</v>
      </c>
      <c r="D139" s="582">
        <f t="shared" si="6"/>
        <v>0</v>
      </c>
      <c r="E139" s="582">
        <f t="shared" si="6"/>
        <v>0</v>
      </c>
      <c r="F139" s="582">
        <f t="shared" si="6"/>
        <v>0</v>
      </c>
      <c r="G139" s="223"/>
      <c r="H139" s="88" t="s">
        <v>296</v>
      </c>
      <c r="J139" s="273" t="s">
        <v>88</v>
      </c>
      <c r="K139" s="273"/>
    </row>
    <row r="140" spans="1:18" hidden="1" x14ac:dyDescent="0.25">
      <c r="A140" s="153"/>
      <c r="C140" s="152" t="s">
        <v>56</v>
      </c>
      <c r="D140" s="582">
        <f t="shared" si="6"/>
        <v>0</v>
      </c>
      <c r="E140" s="582">
        <f t="shared" si="6"/>
        <v>0</v>
      </c>
      <c r="F140" s="582">
        <f t="shared" si="6"/>
        <v>0</v>
      </c>
      <c r="G140" s="223"/>
      <c r="H140" s="88" t="s">
        <v>296</v>
      </c>
      <c r="J140" s="273" t="s">
        <v>88</v>
      </c>
      <c r="K140" s="273"/>
    </row>
    <row r="141" spans="1:18" ht="7.5" customHeight="1" x14ac:dyDescent="0.25">
      <c r="A141" s="153"/>
      <c r="B141" s="18"/>
      <c r="D141" s="562"/>
      <c r="E141" s="562"/>
      <c r="F141" s="562"/>
      <c r="G141" s="223"/>
      <c r="H141" s="28"/>
      <c r="I141" s="20"/>
      <c r="J141" s="282"/>
      <c r="K141" s="282"/>
    </row>
    <row r="142" spans="1:18" ht="15" customHeight="1" x14ac:dyDescent="0.25">
      <c r="A142" s="149">
        <f>MAXA(A$34:A140)+1</f>
        <v>47</v>
      </c>
      <c r="C142" s="24" t="s">
        <v>98</v>
      </c>
      <c r="D142" s="514">
        <f>-SUM(D132,D135,D138)*$K$37/1000000</f>
        <v>39.984462151408138</v>
      </c>
      <c r="E142" s="515">
        <f t="shared" ref="E142:F144" si="7">IF(COUNT($E98,$F98)=2,-SUM(E132,E135,E138)*$K$37/1000000,$D142)</f>
        <v>30.097023205418751</v>
      </c>
      <c r="F142" s="515">
        <f t="shared" si="7"/>
        <v>49.800753388578457</v>
      </c>
      <c r="G142" s="305" t="str">
        <f>CONCATENATE(A142,"-",A144)</f>
        <v>47-49</v>
      </c>
      <c r="H142" s="813" t="s">
        <v>858</v>
      </c>
      <c r="I142" s="20"/>
      <c r="L142" s="272"/>
      <c r="M142" s="272"/>
      <c r="N142" s="272"/>
      <c r="O142" s="272"/>
    </row>
    <row r="143" spans="1:18" s="24" customFormat="1" x14ac:dyDescent="0.25">
      <c r="A143" s="149">
        <f>MAXA(A$34:A142)+1</f>
        <v>48</v>
      </c>
      <c r="B143" s="147"/>
      <c r="C143" s="24" t="s">
        <v>99</v>
      </c>
      <c r="D143" s="514">
        <f>-SUM(D133,D136,D139)*$K$37/1000000</f>
        <v>0</v>
      </c>
      <c r="E143" s="515">
        <f t="shared" si="7"/>
        <v>0</v>
      </c>
      <c r="F143" s="515">
        <f t="shared" si="7"/>
        <v>0</v>
      </c>
      <c r="G143" s="223"/>
      <c r="H143" s="813"/>
      <c r="I143" s="20"/>
      <c r="J143" s="272"/>
      <c r="K143" s="272"/>
      <c r="L143" s="272"/>
      <c r="M143" s="272"/>
      <c r="N143" s="272"/>
      <c r="O143" s="272"/>
      <c r="P143" s="283"/>
      <c r="Q143" s="283"/>
      <c r="R143" s="283"/>
    </row>
    <row r="144" spans="1:18" s="24" customFormat="1" x14ac:dyDescent="0.25">
      <c r="A144" s="149">
        <f>MAXA(A$34:A143)+1</f>
        <v>49</v>
      </c>
      <c r="B144" s="147"/>
      <c r="C144" s="24" t="s">
        <v>100</v>
      </c>
      <c r="D144" s="514">
        <f>-SUM(D134,D137,D140)*$K$37/1000000</f>
        <v>0</v>
      </c>
      <c r="E144" s="515">
        <f t="shared" si="7"/>
        <v>0</v>
      </c>
      <c r="F144" s="515">
        <f t="shared" si="7"/>
        <v>0</v>
      </c>
      <c r="G144" s="223"/>
      <c r="H144" s="813"/>
      <c r="I144" s="20"/>
      <c r="J144" s="272"/>
      <c r="K144" s="272"/>
      <c r="L144" s="272"/>
      <c r="M144" s="272"/>
      <c r="N144" s="272"/>
      <c r="O144" s="272"/>
      <c r="P144" s="283"/>
      <c r="Q144" s="283"/>
      <c r="R144" s="283"/>
    </row>
    <row r="145" spans="1:18" s="24" customFormat="1" x14ac:dyDescent="0.25">
      <c r="A145" s="149">
        <f>MAXA(A$34:A144)+1</f>
        <v>50</v>
      </c>
      <c r="B145" s="147"/>
      <c r="C145" s="24" t="s">
        <v>101</v>
      </c>
      <c r="D145" s="514">
        <f>SUM(D142:D144)</f>
        <v>39.984462151408138</v>
      </c>
      <c r="E145" s="515">
        <f>SUM(E142:E144)</f>
        <v>30.097023205418751</v>
      </c>
      <c r="F145" s="515">
        <f>SUM(F142:F144)</f>
        <v>49.800753388578457</v>
      </c>
      <c r="G145" s="223"/>
      <c r="H145" s="813"/>
      <c r="I145" s="20"/>
      <c r="J145" s="272"/>
      <c r="K145" s="272"/>
      <c r="L145" s="272"/>
      <c r="M145" s="272"/>
      <c r="N145" s="272"/>
      <c r="O145" s="272"/>
      <c r="P145" s="283"/>
      <c r="Q145" s="283"/>
      <c r="R145" s="283"/>
    </row>
    <row r="146" spans="1:18" s="24" customFormat="1" ht="15" customHeight="1" x14ac:dyDescent="0.25">
      <c r="A146" s="149"/>
      <c r="B146" s="145" t="s">
        <v>505</v>
      </c>
      <c r="D146" s="530"/>
      <c r="E146" s="531"/>
      <c r="F146" s="531"/>
      <c r="G146" s="223"/>
      <c r="H146" s="232"/>
      <c r="I146" s="235"/>
      <c r="J146" s="272" t="s">
        <v>511</v>
      </c>
      <c r="K146" s="272" t="s">
        <v>512</v>
      </c>
      <c r="L146" s="272"/>
      <c r="M146" s="272"/>
      <c r="N146" s="272"/>
      <c r="O146" s="272"/>
      <c r="P146" s="283"/>
      <c r="Q146" s="283"/>
      <c r="R146" s="283"/>
    </row>
    <row r="147" spans="1:18" s="24" customFormat="1" ht="15" customHeight="1" x14ac:dyDescent="0.25">
      <c r="A147" s="149"/>
      <c r="B147" s="147"/>
      <c r="C147" s="24" t="s">
        <v>508</v>
      </c>
      <c r="D147" s="514">
        <f>IF(G14="Ja",SUM(J147:K147)*K$37/1000000,)</f>
        <v>0</v>
      </c>
      <c r="E147" s="531"/>
      <c r="F147" s="531"/>
      <c r="G147" s="223"/>
      <c r="H147" s="404"/>
      <c r="I147" s="235"/>
      <c r="J147" s="284">
        <f>$D$47*365*($D$53/100)*($D57/100)*$E$53</f>
        <v>4642800</v>
      </c>
      <c r="K147" s="284">
        <f>$D$47*365*($D$54/100)*($D57/100)*$E$54</f>
        <v>3098850</v>
      </c>
      <c r="L147" s="272"/>
      <c r="M147" s="272"/>
      <c r="N147" s="272"/>
      <c r="O147" s="272"/>
      <c r="P147" s="283"/>
      <c r="Q147" s="283"/>
      <c r="R147" s="283"/>
    </row>
    <row r="148" spans="1:18" s="24" customFormat="1" ht="15" customHeight="1" x14ac:dyDescent="0.25">
      <c r="A148" s="149"/>
      <c r="B148" s="147"/>
      <c r="C148" s="24" t="s">
        <v>509</v>
      </c>
      <c r="D148" s="514">
        <f>IF(G15="Ja",SUM(J148:K148)*K$37/1000000,)</f>
        <v>0</v>
      </c>
      <c r="E148" s="531"/>
      <c r="F148" s="531"/>
      <c r="G148" s="223"/>
      <c r="H148" s="232"/>
      <c r="I148" s="235"/>
      <c r="J148" s="284">
        <f>$D$47*365*($D$53/100)*($D58/100)*$E$53</f>
        <v>0</v>
      </c>
      <c r="K148" s="284">
        <f>$D$47*365*($D$54/100)*($D58/100)*$E$54</f>
        <v>0</v>
      </c>
      <c r="L148" s="272"/>
      <c r="M148" s="272"/>
      <c r="N148" s="272"/>
      <c r="O148" s="272"/>
      <c r="P148" s="283"/>
      <c r="Q148" s="283"/>
      <c r="R148" s="283"/>
    </row>
    <row r="149" spans="1:18" s="24" customFormat="1" ht="15" customHeight="1" x14ac:dyDescent="0.25">
      <c r="A149" s="149"/>
      <c r="B149" s="147"/>
      <c r="C149" s="24" t="s">
        <v>510</v>
      </c>
      <c r="D149" s="514">
        <f>IF(G16="Ja",SUM(J149:K149)*K$37/1000000,)</f>
        <v>0</v>
      </c>
      <c r="E149" s="531"/>
      <c r="F149" s="531"/>
      <c r="G149" s="223"/>
      <c r="H149" s="232"/>
      <c r="I149" s="235"/>
      <c r="J149" s="284">
        <f>$D$47*365*($D$53/100)*($D59/100)*$E$53</f>
        <v>0</v>
      </c>
      <c r="K149" s="284">
        <f>$D$47*365*($D$54/100)*($D59/100)*$E$54</f>
        <v>0</v>
      </c>
      <c r="L149" s="272"/>
      <c r="M149" s="272"/>
      <c r="N149" s="272"/>
      <c r="O149" s="272"/>
      <c r="P149" s="283"/>
      <c r="Q149" s="283"/>
      <c r="R149" s="283"/>
    </row>
    <row r="150" spans="1:18" s="24" customFormat="1" ht="15" customHeight="1" x14ac:dyDescent="0.25">
      <c r="A150" s="149"/>
      <c r="B150" s="147"/>
      <c r="C150" s="24" t="s">
        <v>513</v>
      </c>
      <c r="D150" s="514">
        <f>SUM(D147:D149)</f>
        <v>0</v>
      </c>
      <c r="E150" s="531"/>
      <c r="F150" s="531"/>
      <c r="G150" s="223"/>
      <c r="H150" s="232"/>
      <c r="I150" s="235"/>
      <c r="J150" s="284"/>
      <c r="K150" s="284"/>
      <c r="L150" s="272"/>
      <c r="M150" s="272"/>
      <c r="N150" s="272"/>
      <c r="O150" s="272"/>
      <c r="P150" s="283"/>
      <c r="Q150" s="283"/>
      <c r="R150" s="283"/>
    </row>
    <row r="151" spans="1:18" s="24" customFormat="1" ht="18.75" x14ac:dyDescent="0.25">
      <c r="A151" s="144" t="s">
        <v>11</v>
      </c>
      <c r="B151" s="147"/>
      <c r="C151" s="18"/>
      <c r="D151" s="536"/>
      <c r="E151" s="529"/>
      <c r="F151" s="529"/>
      <c r="G151" s="223"/>
      <c r="H151" s="21"/>
      <c r="I151" s="20"/>
      <c r="J151" s="272"/>
      <c r="K151" s="272"/>
      <c r="L151" s="272"/>
      <c r="M151" s="272"/>
      <c r="N151" s="272"/>
      <c r="O151" s="272"/>
      <c r="P151" s="283"/>
      <c r="Q151" s="283"/>
      <c r="R151" s="283"/>
    </row>
    <row r="152" spans="1:18" s="24" customFormat="1" ht="15" customHeight="1" x14ac:dyDescent="0.25">
      <c r="A152" s="149">
        <f>MAXA(A$34:A151)+1</f>
        <v>51</v>
      </c>
      <c r="B152" s="147"/>
      <c r="C152" s="24" t="s">
        <v>59</v>
      </c>
      <c r="D152" s="514">
        <f>SUM(D41*D$40+E41*E$40+F41*F$40)/1000000</f>
        <v>4.4000000000000004</v>
      </c>
      <c r="E152" s="529"/>
      <c r="F152" s="569"/>
      <c r="G152" s="305" t="str">
        <f>CONCATENATE(A152,"-",A154)</f>
        <v>51-53</v>
      </c>
      <c r="H152" s="813" t="s">
        <v>859</v>
      </c>
      <c r="I152" s="20"/>
      <c r="J152" s="272"/>
      <c r="K152" s="272"/>
      <c r="L152" s="272"/>
      <c r="M152" s="272"/>
      <c r="N152" s="272"/>
      <c r="O152" s="272"/>
      <c r="P152" s="283"/>
      <c r="Q152" s="283"/>
      <c r="R152" s="283"/>
    </row>
    <row r="153" spans="1:18" s="24" customFormat="1" x14ac:dyDescent="0.25">
      <c r="A153" s="149">
        <f>MAXA(A$34:A152)+1</f>
        <v>52</v>
      </c>
      <c r="B153" s="147"/>
      <c r="C153" s="24" t="s">
        <v>113</v>
      </c>
      <c r="D153" s="514">
        <f>SUM(D42*D$40+E42*E$40+F42*F$40)*D37/1000000</f>
        <v>3.5687941429162162</v>
      </c>
      <c r="E153" s="529"/>
      <c r="F153" s="569"/>
      <c r="G153" s="223"/>
      <c r="H153" s="812"/>
      <c r="I153" s="20"/>
      <c r="J153" s="272"/>
      <c r="K153" s="272"/>
      <c r="L153" s="272"/>
      <c r="M153" s="272"/>
      <c r="N153" s="272"/>
      <c r="O153" s="272"/>
      <c r="P153" s="283"/>
      <c r="Q153" s="283"/>
      <c r="R153" s="283"/>
    </row>
    <row r="154" spans="1:18" s="24" customFormat="1" x14ac:dyDescent="0.25">
      <c r="A154" s="149">
        <f>MAXA(A$34:A153)+1</f>
        <v>53</v>
      </c>
      <c r="B154" s="147"/>
      <c r="C154" s="24" t="s">
        <v>60</v>
      </c>
      <c r="D154" s="514">
        <f>D152+D153</f>
        <v>7.9687941429162166</v>
      </c>
      <c r="E154" s="529"/>
      <c r="F154" s="529"/>
      <c r="G154" s="223"/>
      <c r="H154" s="812"/>
      <c r="I154" s="20"/>
      <c r="J154" s="272"/>
      <c r="K154" s="272"/>
      <c r="L154" s="272"/>
      <c r="M154" s="272"/>
      <c r="N154" s="272"/>
      <c r="O154" s="272"/>
      <c r="P154" s="283"/>
      <c r="Q154" s="283"/>
      <c r="R154" s="283"/>
    </row>
    <row r="155" spans="1:18" s="24" customFormat="1" x14ac:dyDescent="0.25">
      <c r="A155" s="149">
        <f>MAXA(A$34:A154)+1</f>
        <v>54</v>
      </c>
      <c r="B155" s="147"/>
      <c r="C155" s="24" t="s">
        <v>114</v>
      </c>
      <c r="D155" s="514">
        <f>SUM(D152:D153)*(100+D36)/100</f>
        <v>9.5625529714994606</v>
      </c>
      <c r="E155" s="529"/>
      <c r="F155" s="529"/>
      <c r="G155" s="223">
        <f>A155</f>
        <v>54</v>
      </c>
      <c r="H155" s="18" t="s">
        <v>861</v>
      </c>
      <c r="I155" s="20"/>
      <c r="J155" s="290"/>
      <c r="K155" s="291"/>
      <c r="L155" s="290"/>
      <c r="M155" s="291"/>
      <c r="N155" s="290"/>
      <c r="O155" s="291"/>
      <c r="P155" s="283"/>
      <c r="Q155" s="283"/>
      <c r="R155" s="283"/>
    </row>
    <row r="156" spans="1:18" s="24" customFormat="1" ht="18.75" x14ac:dyDescent="0.25">
      <c r="A156" s="144" t="s">
        <v>117</v>
      </c>
      <c r="B156" s="147"/>
      <c r="C156" s="18"/>
      <c r="D156" s="563" t="s">
        <v>54</v>
      </c>
      <c r="E156" s="563" t="s">
        <v>92</v>
      </c>
      <c r="F156" s="563" t="s">
        <v>93</v>
      </c>
      <c r="G156" s="223"/>
      <c r="H156" s="21"/>
      <c r="I156" s="20"/>
      <c r="J156" s="272"/>
      <c r="K156" s="272"/>
      <c r="L156" s="273"/>
      <c r="M156" s="273"/>
      <c r="N156" s="273"/>
      <c r="O156" s="273"/>
      <c r="P156" s="283"/>
      <c r="Q156" s="283"/>
      <c r="R156" s="283"/>
    </row>
    <row r="157" spans="1:18" s="24" customFormat="1" x14ac:dyDescent="0.25">
      <c r="A157" s="149">
        <f>MAXA(A$34:A156)+1</f>
        <v>55</v>
      </c>
      <c r="B157" s="147"/>
      <c r="C157" s="24" t="s">
        <v>12</v>
      </c>
      <c r="D157" s="514">
        <f>SUM(D106,D115,D145,D150)-$D155</f>
        <v>33.126239441737084</v>
      </c>
      <c r="E157" s="515">
        <f>SUM(E106,D115,E145,D150)-D155</f>
        <v>22.291107403083451</v>
      </c>
      <c r="F157" s="515">
        <f>SUM(F106,D115,F145,D150)-D155</f>
        <v>43.822531407809919</v>
      </c>
      <c r="G157" s="223">
        <f>A157</f>
        <v>55</v>
      </c>
      <c r="H157" s="18" t="s">
        <v>860</v>
      </c>
      <c r="I157" s="20"/>
      <c r="J157" s="272"/>
      <c r="K157" s="272"/>
      <c r="L157" s="273"/>
      <c r="M157" s="273"/>
      <c r="N157" s="273"/>
      <c r="O157" s="273"/>
      <c r="P157" s="283"/>
      <c r="Q157" s="283"/>
      <c r="R157" s="283"/>
    </row>
    <row r="158" spans="1:18" s="24" customFormat="1" x14ac:dyDescent="0.25">
      <c r="A158" s="149">
        <f>MAXA(A$34:A157)+1</f>
        <v>56</v>
      </c>
      <c r="B158" s="147"/>
      <c r="C158" s="24" t="s">
        <v>14</v>
      </c>
      <c r="D158" s="514">
        <f>D157/D$155</f>
        <v>3.464162712663406</v>
      </c>
      <c r="E158" s="515">
        <f>E157/D$155</f>
        <v>2.3310832859719137</v>
      </c>
      <c r="F158" s="515">
        <f>F157/D$155</f>
        <v>4.5827229965073135</v>
      </c>
      <c r="G158" s="223">
        <f>A158</f>
        <v>56</v>
      </c>
      <c r="H158" s="18" t="s">
        <v>52</v>
      </c>
      <c r="I158" s="20"/>
      <c r="J158" s="272"/>
      <c r="K158" s="272"/>
      <c r="L158" s="273"/>
      <c r="M158" s="273"/>
      <c r="N158" s="273"/>
      <c r="O158" s="273"/>
      <c r="P158" s="283"/>
      <c r="Q158" s="283"/>
      <c r="R158" s="283"/>
    </row>
    <row r="159" spans="1:18" s="24" customFormat="1" x14ac:dyDescent="0.25">
      <c r="A159" s="149">
        <f>MAXA(A$34:A158)+1</f>
        <v>57</v>
      </c>
      <c r="B159" s="147"/>
      <c r="C159" s="24" t="s">
        <v>13</v>
      </c>
      <c r="D159" s="514">
        <f>SUM(D106,D115,D145,D150)/$D155</f>
        <v>4.4641627126634065</v>
      </c>
      <c r="E159" s="515">
        <f>SUM(E106,D115,E145,D150)/$D155</f>
        <v>3.3310832859719137</v>
      </c>
      <c r="F159" s="515">
        <f>SUM(F106,D115,F145,D150)/$D155</f>
        <v>5.5827229965073135</v>
      </c>
      <c r="G159" s="223">
        <f>A159</f>
        <v>57</v>
      </c>
      <c r="H159" s="18" t="s">
        <v>168</v>
      </c>
      <c r="I159" s="20"/>
      <c r="J159" s="272"/>
      <c r="K159" s="272"/>
      <c r="L159" s="273"/>
      <c r="M159" s="273"/>
      <c r="N159" s="273"/>
      <c r="O159" s="273"/>
      <c r="P159" s="283"/>
      <c r="Q159" s="283"/>
      <c r="R159" s="283"/>
    </row>
    <row r="160" spans="1:18" s="24" customFormat="1" x14ac:dyDescent="0.25">
      <c r="A160" s="149">
        <f>MAXA(A$34:A159)+1</f>
        <v>58</v>
      </c>
      <c r="B160" s="147"/>
      <c r="C160" s="24" t="s">
        <v>53</v>
      </c>
      <c r="D160" s="514">
        <f>D106/$D155</f>
        <v>0.16989361890319765</v>
      </c>
      <c r="E160" s="515">
        <f>E106/$D155</f>
        <v>7.0789007876332369E-2</v>
      </c>
      <c r="F160" s="515">
        <f>F106/$D155</f>
        <v>0.26191932914242971</v>
      </c>
      <c r="G160" s="223">
        <f>A160</f>
        <v>58</v>
      </c>
      <c r="H160" s="18" t="s">
        <v>950</v>
      </c>
      <c r="I160" s="20"/>
      <c r="J160" s="272"/>
      <c r="K160" s="272"/>
      <c r="L160" s="273"/>
      <c r="M160" s="273"/>
      <c r="N160" s="273"/>
      <c r="O160" s="273"/>
      <c r="P160" s="283"/>
      <c r="Q160" s="283"/>
      <c r="R160" s="283"/>
    </row>
    <row r="161" spans="1:18" s="24" customFormat="1" ht="6.75" customHeight="1" x14ac:dyDescent="0.25">
      <c r="A161" s="149"/>
      <c r="B161" s="147"/>
      <c r="D161" s="64"/>
      <c r="E161" s="65"/>
      <c r="F161" s="65"/>
      <c r="G161" s="53"/>
      <c r="H161" s="18"/>
      <c r="I161" s="18"/>
      <c r="J161" s="272"/>
      <c r="K161" s="272"/>
      <c r="L161" s="273"/>
      <c r="M161" s="273"/>
      <c r="N161" s="273"/>
      <c r="O161" s="273"/>
      <c r="P161" s="283"/>
      <c r="Q161" s="283"/>
      <c r="R161" s="283"/>
    </row>
    <row r="162" spans="1:18" ht="18.75" x14ac:dyDescent="0.3">
      <c r="A162" s="207" t="s">
        <v>330</v>
      </c>
      <c r="C162" s="24"/>
      <c r="D162" s="64"/>
      <c r="E162" s="65"/>
      <c r="F162" s="65"/>
      <c r="I162" s="18"/>
      <c r="J162" s="139"/>
      <c r="K162" s="139"/>
      <c r="L162" s="140"/>
      <c r="M162" s="18"/>
      <c r="N162" s="18"/>
      <c r="O162" s="18"/>
      <c r="P162" s="24"/>
      <c r="Q162" s="18"/>
      <c r="R162" s="18"/>
    </row>
    <row r="163" spans="1:18" ht="5.0999999999999996" customHeight="1" x14ac:dyDescent="0.25">
      <c r="A163" s="144"/>
      <c r="C163" s="24"/>
      <c r="D163" s="64"/>
      <c r="E163" s="65"/>
      <c r="F163" s="65"/>
      <c r="I163" s="18"/>
      <c r="J163" s="139"/>
      <c r="K163" s="139"/>
      <c r="L163" s="140"/>
      <c r="M163" s="18"/>
      <c r="N163" s="18"/>
      <c r="O163" s="18"/>
      <c r="P163" s="24"/>
      <c r="Q163" s="18"/>
      <c r="R163" s="18"/>
    </row>
    <row r="164" spans="1:18" ht="42.75" customHeight="1" x14ac:dyDescent="0.25">
      <c r="A164" s="144"/>
      <c r="C164" s="813" t="s">
        <v>769</v>
      </c>
      <c r="D164" s="812"/>
      <c r="E164" s="812"/>
      <c r="F164" s="812"/>
      <c r="G164" s="812"/>
      <c r="H164" s="812"/>
      <c r="I164" s="812"/>
      <c r="J164" s="139"/>
      <c r="K164" s="139"/>
      <c r="L164" s="140"/>
      <c r="M164" s="18"/>
      <c r="N164" s="18"/>
      <c r="O164" s="18"/>
      <c r="P164" s="24"/>
      <c r="Q164" s="18"/>
      <c r="R164" s="18"/>
    </row>
    <row r="165" spans="1:18" ht="305.25" customHeight="1" x14ac:dyDescent="0.25">
      <c r="A165" s="144"/>
      <c r="C165" s="24"/>
      <c r="D165" s="64"/>
      <c r="E165" s="65"/>
      <c r="F165" s="65"/>
      <c r="I165" s="18"/>
      <c r="J165" s="139"/>
      <c r="K165" s="139"/>
      <c r="L165" s="140"/>
      <c r="M165" s="18"/>
      <c r="N165" s="18"/>
      <c r="O165" s="18"/>
      <c r="P165" s="24"/>
      <c r="Q165" s="18"/>
      <c r="R165" s="18"/>
    </row>
    <row r="166" spans="1:18" ht="5.0999999999999996" customHeight="1" x14ac:dyDescent="0.25">
      <c r="A166" s="144"/>
      <c r="C166" s="24"/>
      <c r="D166" s="64"/>
      <c r="E166" s="65"/>
      <c r="F166" s="65"/>
      <c r="I166" s="18"/>
      <c r="J166" s="139"/>
      <c r="K166" s="139"/>
      <c r="L166" s="140"/>
      <c r="M166" s="18"/>
      <c r="N166" s="18"/>
      <c r="O166" s="18"/>
      <c r="P166" s="24"/>
      <c r="Q166" s="18"/>
      <c r="R166" s="18"/>
    </row>
    <row r="167" spans="1:18" ht="15" customHeight="1" x14ac:dyDescent="0.3">
      <c r="A167" s="207" t="s">
        <v>629</v>
      </c>
      <c r="C167" s="24"/>
      <c r="D167" s="62"/>
      <c r="E167" s="18"/>
      <c r="F167" s="18"/>
      <c r="G167" s="330"/>
      <c r="H167" s="25"/>
      <c r="I167" s="18"/>
      <c r="J167" s="139"/>
      <c r="K167" s="139"/>
      <c r="L167" s="140"/>
      <c r="M167" s="18"/>
      <c r="N167" s="18"/>
      <c r="O167" s="18"/>
      <c r="P167" s="24"/>
      <c r="Q167" s="18"/>
      <c r="R167" s="18"/>
    </row>
    <row r="168" spans="1:18" ht="15" customHeight="1" x14ac:dyDescent="0.3">
      <c r="A168" s="207"/>
      <c r="C168" s="24"/>
      <c r="D168" s="62"/>
      <c r="E168" s="18"/>
      <c r="F168" s="18"/>
      <c r="G168" s="330"/>
      <c r="H168" s="25"/>
      <c r="I168" s="18"/>
      <c r="J168" s="139"/>
      <c r="K168" s="139"/>
      <c r="L168" s="140"/>
      <c r="M168" s="18"/>
      <c r="N168" s="18"/>
      <c r="O168" s="18"/>
      <c r="P168" s="24"/>
      <c r="Q168" s="18"/>
      <c r="R168" s="18"/>
    </row>
    <row r="169" spans="1:18" ht="15" customHeight="1" x14ac:dyDescent="0.3">
      <c r="A169" s="207"/>
      <c r="C169" s="24"/>
      <c r="D169" s="18"/>
      <c r="E169" s="356" t="s">
        <v>631</v>
      </c>
      <c r="F169" s="18"/>
      <c r="G169" s="330"/>
      <c r="H169" s="468" t="s">
        <v>633</v>
      </c>
      <c r="I169" s="18"/>
      <c r="J169" s="139"/>
      <c r="K169" s="139"/>
      <c r="L169" s="140"/>
      <c r="M169" s="18"/>
      <c r="N169" s="18"/>
      <c r="O169" s="18"/>
      <c r="P169" s="24"/>
      <c r="Q169" s="18"/>
      <c r="R169" s="18"/>
    </row>
    <row r="170" spans="1:18" ht="30.75" x14ac:dyDescent="0.3">
      <c r="A170" s="207"/>
      <c r="C170" s="24"/>
      <c r="D170" s="466" t="s">
        <v>524</v>
      </c>
      <c r="E170" s="466" t="s">
        <v>302</v>
      </c>
      <c r="F170" s="466" t="s">
        <v>893</v>
      </c>
      <c r="G170" s="467"/>
      <c r="I170" s="18"/>
      <c r="J170" s="139"/>
      <c r="K170" s="139"/>
      <c r="L170" s="140"/>
      <c r="M170" s="18"/>
      <c r="N170" s="18"/>
      <c r="O170" s="18"/>
      <c r="P170" s="24"/>
      <c r="Q170" s="18"/>
      <c r="R170" s="18"/>
    </row>
    <row r="171" spans="1:18" ht="3.95" customHeight="1" x14ac:dyDescent="0.3">
      <c r="A171" s="207"/>
      <c r="C171" s="24"/>
      <c r="D171" s="64"/>
      <c r="E171" s="65"/>
      <c r="F171" s="65"/>
      <c r="I171" s="18"/>
      <c r="J171" s="139"/>
      <c r="K171" s="139"/>
      <c r="L171" s="140"/>
      <c r="M171" s="18"/>
      <c r="N171" s="18"/>
      <c r="O171" s="18"/>
      <c r="P171" s="24"/>
      <c r="Q171" s="18"/>
      <c r="R171" s="18"/>
    </row>
    <row r="172" spans="1:18" ht="30" customHeight="1" x14ac:dyDescent="0.25">
      <c r="A172" s="821" t="s">
        <v>17</v>
      </c>
      <c r="B172" s="822"/>
      <c r="C172" s="822"/>
      <c r="D172" s="250" t="s">
        <v>847</v>
      </c>
      <c r="E172" s="465" t="s">
        <v>848</v>
      </c>
      <c r="F172" s="465" t="s">
        <v>848</v>
      </c>
      <c r="G172" s="330"/>
      <c r="H172" s="251" t="s">
        <v>892</v>
      </c>
      <c r="I172" s="18"/>
      <c r="J172" s="139"/>
      <c r="K172" s="139"/>
      <c r="L172" s="140"/>
      <c r="M172" s="18"/>
      <c r="N172" s="18"/>
      <c r="O172" s="18"/>
      <c r="P172" s="24"/>
      <c r="Q172" s="18"/>
      <c r="R172" s="18"/>
    </row>
    <row r="173" spans="1:18" ht="3.95" customHeight="1" x14ac:dyDescent="0.25">
      <c r="A173" s="463"/>
      <c r="B173" s="464"/>
      <c r="C173" s="464"/>
      <c r="D173" s="250"/>
      <c r="E173" s="250"/>
      <c r="F173" s="250"/>
      <c r="G173" s="330"/>
      <c r="H173" s="251"/>
      <c r="I173" s="18"/>
      <c r="J173" s="139"/>
      <c r="K173" s="139"/>
      <c r="L173" s="140"/>
      <c r="M173" s="18"/>
      <c r="N173" s="18"/>
      <c r="O173" s="18"/>
      <c r="P173" s="24"/>
      <c r="Q173" s="18"/>
      <c r="R173" s="18"/>
    </row>
    <row r="174" spans="1:18" ht="30" customHeight="1" x14ac:dyDescent="0.25">
      <c r="A174" s="821" t="s">
        <v>150</v>
      </c>
      <c r="B174" s="822"/>
      <c r="C174" s="822"/>
      <c r="D174" s="465" t="s">
        <v>630</v>
      </c>
      <c r="E174" s="465" t="s">
        <v>630</v>
      </c>
      <c r="F174" s="465" t="s">
        <v>848</v>
      </c>
      <c r="G174" s="330"/>
      <c r="H174" s="251" t="s">
        <v>892</v>
      </c>
      <c r="I174" s="18"/>
      <c r="J174" s="139"/>
      <c r="K174" s="139"/>
      <c r="L174" s="140"/>
      <c r="M174" s="18"/>
      <c r="N174" s="18"/>
      <c r="O174" s="18"/>
      <c r="P174" s="24"/>
      <c r="Q174" s="18"/>
      <c r="R174" s="18"/>
    </row>
    <row r="175" spans="1:18" ht="3.95" customHeight="1" x14ac:dyDescent="0.25">
      <c r="A175" s="463"/>
      <c r="B175" s="464"/>
      <c r="C175" s="464"/>
      <c r="D175" s="250"/>
      <c r="E175" s="250"/>
      <c r="F175" s="250"/>
      <c r="G175" s="330"/>
      <c r="H175" s="251"/>
      <c r="I175" s="18"/>
      <c r="J175" s="139"/>
      <c r="K175" s="139"/>
      <c r="L175" s="140"/>
      <c r="M175" s="18"/>
      <c r="N175" s="18"/>
      <c r="O175" s="18"/>
      <c r="P175" s="24"/>
      <c r="Q175" s="18"/>
      <c r="R175" s="18"/>
    </row>
    <row r="176" spans="1:18" s="24" customFormat="1" ht="18.75" x14ac:dyDescent="0.25">
      <c r="A176" s="144" t="s">
        <v>455</v>
      </c>
      <c r="B176" s="147"/>
      <c r="D176" s="64"/>
      <c r="E176" s="65"/>
      <c r="F176" s="65"/>
      <c r="G176" s="53"/>
      <c r="H176" s="18"/>
      <c r="I176" s="18"/>
      <c r="J176" s="272"/>
      <c r="K176" s="272"/>
      <c r="L176" s="273"/>
      <c r="M176" s="273"/>
      <c r="N176" s="273"/>
      <c r="O176" s="273"/>
      <c r="P176" s="283"/>
      <c r="Q176" s="283"/>
      <c r="R176" s="283"/>
    </row>
    <row r="177" spans="1:18" s="24" customFormat="1" ht="5.0999999999999996" customHeight="1" x14ac:dyDescent="0.25">
      <c r="A177" s="149"/>
      <c r="B177" s="147"/>
      <c r="D177" s="64"/>
      <c r="E177" s="69"/>
      <c r="F177" s="70"/>
      <c r="G177" s="312"/>
      <c r="H177" s="70"/>
      <c r="I177" s="18"/>
      <c r="J177" s="272"/>
      <c r="K177" s="272"/>
      <c r="L177" s="273"/>
      <c r="M177" s="273"/>
      <c r="N177" s="273"/>
      <c r="O177" s="273"/>
      <c r="P177" s="283"/>
      <c r="Q177" s="283"/>
      <c r="R177" s="283"/>
    </row>
    <row r="178" spans="1:18" s="24" customFormat="1" ht="15.75" x14ac:dyDescent="0.25">
      <c r="A178" s="145" t="s">
        <v>749</v>
      </c>
      <c r="B178" s="147"/>
      <c r="D178" s="64"/>
      <c r="E178" s="65"/>
      <c r="F178" s="65"/>
      <c r="G178" s="53"/>
      <c r="H178" s="18"/>
      <c r="I178" s="18"/>
      <c r="J178" s="272"/>
      <c r="K178" s="272"/>
      <c r="L178" s="273"/>
      <c r="M178" s="273"/>
      <c r="N178" s="273"/>
      <c r="O178" s="273"/>
      <c r="P178" s="283"/>
      <c r="Q178" s="283"/>
      <c r="R178" s="283"/>
    </row>
    <row r="179" spans="1:18" ht="5.0999999999999996" customHeight="1" x14ac:dyDescent="0.25">
      <c r="A179" s="145"/>
      <c r="C179" s="328"/>
      <c r="D179" s="64"/>
      <c r="E179" s="65"/>
      <c r="F179" s="65"/>
      <c r="I179" s="18"/>
      <c r="J179" s="139"/>
      <c r="K179" s="139"/>
      <c r="L179" s="140"/>
      <c r="M179" s="18"/>
      <c r="N179" s="18"/>
      <c r="O179" s="18"/>
      <c r="P179" s="24"/>
      <c r="Q179" s="18"/>
      <c r="R179" s="18"/>
    </row>
    <row r="180" spans="1:18" s="24" customFormat="1" x14ac:dyDescent="0.25">
      <c r="A180" s="149"/>
      <c r="B180" s="147"/>
      <c r="C180" s="394" t="s">
        <v>735</v>
      </c>
      <c r="D180" s="414">
        <v>-24</v>
      </c>
      <c r="E180" s="71" t="s">
        <v>61</v>
      </c>
      <c r="F180" s="72" t="s">
        <v>738</v>
      </c>
      <c r="G180" s="53"/>
      <c r="H180" s="18"/>
      <c r="I180" s="18"/>
      <c r="J180" s="272"/>
      <c r="K180" s="272"/>
      <c r="L180" s="273"/>
      <c r="M180" s="273"/>
      <c r="N180" s="273"/>
      <c r="O180" s="273"/>
      <c r="P180" s="283"/>
      <c r="Q180" s="283"/>
      <c r="R180" s="283"/>
    </row>
    <row r="181" spans="1:18" x14ac:dyDescent="0.25">
      <c r="A181" s="149"/>
      <c r="C181" s="395" t="s">
        <v>736</v>
      </c>
      <c r="D181" s="414">
        <v>-10</v>
      </c>
      <c r="E181" s="71" t="s">
        <v>61</v>
      </c>
      <c r="F181" s="65"/>
      <c r="I181" s="18"/>
    </row>
    <row r="182" spans="1:18" x14ac:dyDescent="0.25">
      <c r="A182" s="149"/>
      <c r="C182" s="395" t="s">
        <v>737</v>
      </c>
      <c r="D182" s="414">
        <v>-37</v>
      </c>
      <c r="E182" s="71" t="s">
        <v>61</v>
      </c>
      <c r="F182" s="65"/>
      <c r="I182" s="18"/>
    </row>
    <row r="183" spans="1:18" ht="5.0999999999999996" customHeight="1" x14ac:dyDescent="0.25">
      <c r="A183" s="149"/>
      <c r="C183" s="24"/>
      <c r="D183" s="64"/>
      <c r="E183" s="65"/>
      <c r="F183" s="65"/>
      <c r="I183" s="18"/>
    </row>
    <row r="184" spans="1:18" ht="15.75" x14ac:dyDescent="0.25">
      <c r="A184" s="145" t="s">
        <v>750</v>
      </c>
      <c r="C184" s="24"/>
      <c r="D184" s="64"/>
      <c r="E184" s="65"/>
      <c r="F184" s="65"/>
      <c r="I184" s="18"/>
    </row>
    <row r="185" spans="1:18" x14ac:dyDescent="0.25">
      <c r="A185" s="149"/>
      <c r="C185" s="395" t="s">
        <v>739</v>
      </c>
      <c r="D185" s="18"/>
      <c r="E185" s="18"/>
      <c r="F185" s="72" t="s">
        <v>767</v>
      </c>
      <c r="I185" s="18"/>
    </row>
    <row r="186" spans="1:18" ht="17.25" x14ac:dyDescent="0.25">
      <c r="A186" s="149"/>
      <c r="C186" s="395" t="s">
        <v>740</v>
      </c>
      <c r="D186" s="861" t="s">
        <v>761</v>
      </c>
      <c r="E186" s="862"/>
      <c r="F186" s="72" t="s">
        <v>763</v>
      </c>
      <c r="I186" s="18"/>
    </row>
    <row r="187" spans="1:18" x14ac:dyDescent="0.25">
      <c r="A187" s="149"/>
      <c r="C187" s="24"/>
      <c r="D187" s="861" t="s">
        <v>762</v>
      </c>
      <c r="E187" s="862"/>
      <c r="F187" s="72" t="s">
        <v>764</v>
      </c>
      <c r="I187" s="18"/>
    </row>
    <row r="188" spans="1:18" x14ac:dyDescent="0.25">
      <c r="A188" s="149"/>
      <c r="C188" s="24"/>
      <c r="D188" s="861" t="s">
        <v>741</v>
      </c>
      <c r="E188" s="862"/>
      <c r="F188" s="72" t="s">
        <v>765</v>
      </c>
      <c r="I188" s="18"/>
    </row>
    <row r="189" spans="1:18" x14ac:dyDescent="0.25">
      <c r="A189" s="149"/>
      <c r="C189" s="24"/>
      <c r="D189" s="861" t="s">
        <v>853</v>
      </c>
      <c r="E189" s="863"/>
      <c r="F189" s="72" t="s">
        <v>766</v>
      </c>
      <c r="I189" s="18"/>
    </row>
    <row r="190" spans="1:18" x14ac:dyDescent="0.25">
      <c r="A190" s="149"/>
      <c r="C190" s="24"/>
      <c r="D190" s="65"/>
      <c r="E190" s="18"/>
      <c r="F190" s="72" t="s">
        <v>760</v>
      </c>
      <c r="I190" s="18"/>
    </row>
    <row r="191" spans="1:18" ht="5.0999999999999996" customHeight="1" x14ac:dyDescent="0.25">
      <c r="A191" s="149"/>
      <c r="C191" s="24"/>
      <c r="D191" s="64"/>
      <c r="E191" s="65"/>
      <c r="F191" s="65"/>
      <c r="I191" s="18"/>
    </row>
    <row r="192" spans="1:18" ht="15.75" x14ac:dyDescent="0.25">
      <c r="A192" s="145" t="s">
        <v>743</v>
      </c>
      <c r="C192" s="24"/>
      <c r="D192" s="65"/>
      <c r="E192" s="72"/>
      <c r="F192" s="72"/>
      <c r="I192" s="18"/>
    </row>
    <row r="193" spans="1:13" x14ac:dyDescent="0.25">
      <c r="A193" s="149"/>
      <c r="C193" s="395" t="s">
        <v>745</v>
      </c>
      <c r="D193" s="415">
        <f>'Data-beregninger'!C132</f>
        <v>2.2186414800000001</v>
      </c>
      <c r="E193" s="72" t="s">
        <v>1005</v>
      </c>
      <c r="F193" s="72"/>
      <c r="I193" s="18"/>
    </row>
    <row r="194" spans="1:13" x14ac:dyDescent="0.25">
      <c r="A194" s="149"/>
      <c r="C194" s="395" t="s">
        <v>746</v>
      </c>
      <c r="D194" s="415">
        <f>'Data-beregninger'!C133</f>
        <v>2.9616770699999995</v>
      </c>
      <c r="E194" s="72" t="s">
        <v>1005</v>
      </c>
      <c r="F194" s="72"/>
      <c r="I194" s="18"/>
    </row>
    <row r="195" spans="1:13" x14ac:dyDescent="0.25">
      <c r="A195" s="149"/>
      <c r="C195" s="24"/>
      <c r="D195" s="65"/>
      <c r="E195" s="72"/>
      <c r="F195" s="72"/>
      <c r="I195" s="18"/>
    </row>
    <row r="196" spans="1:13" hidden="1" x14ac:dyDescent="0.25">
      <c r="A196" s="149"/>
      <c r="C196" s="24"/>
      <c r="D196" s="65"/>
      <c r="E196" s="71"/>
      <c r="F196" s="72"/>
      <c r="I196" s="18"/>
    </row>
    <row r="197" spans="1:13" ht="5.25" hidden="1" customHeight="1" x14ac:dyDescent="0.25">
      <c r="D197" s="20"/>
      <c r="E197" s="20"/>
      <c r="F197" s="20"/>
      <c r="H197" s="21"/>
      <c r="I197" s="20"/>
    </row>
    <row r="198" spans="1:13" hidden="1" x14ac:dyDescent="0.25">
      <c r="A198" s="154" t="s">
        <v>57</v>
      </c>
      <c r="H198" s="32"/>
    </row>
    <row r="199" spans="1:13" hidden="1" x14ac:dyDescent="0.25">
      <c r="C199" s="155" t="s">
        <v>10</v>
      </c>
      <c r="D199" s="44"/>
      <c r="E199" s="287" t="s">
        <v>51</v>
      </c>
      <c r="F199" s="44"/>
      <c r="G199" s="313" t="s">
        <v>10</v>
      </c>
      <c r="H199" s="19"/>
      <c r="J199" s="285" t="s">
        <v>49</v>
      </c>
      <c r="K199" s="286" t="s">
        <v>47</v>
      </c>
      <c r="L199" s="287" t="s">
        <v>50</v>
      </c>
      <c r="M199" s="287"/>
    </row>
    <row r="200" spans="1:13" hidden="1" x14ac:dyDescent="0.25">
      <c r="C200" s="156">
        <v>0</v>
      </c>
      <c r="D200" s="46">
        <f>((100-D$35)/100)^C200</f>
        <v>1</v>
      </c>
      <c r="E200" s="272">
        <v>1</v>
      </c>
      <c r="F200" s="46">
        <f>E200*D200</f>
        <v>1</v>
      </c>
      <c r="G200" s="314"/>
      <c r="H200" s="19"/>
      <c r="J200" s="285"/>
      <c r="K200" s="273"/>
      <c r="M200" s="288"/>
    </row>
    <row r="201" spans="1:13" hidden="1" x14ac:dyDescent="0.25">
      <c r="C201" s="156">
        <f t="shared" ref="C201:C225" si="8">C200+1</f>
        <v>1</v>
      </c>
      <c r="D201" s="46">
        <f>1/((100+D$35)/100)^C201</f>
        <v>0.96153846153846145</v>
      </c>
      <c r="E201" s="275">
        <f t="shared" ref="E201:E225" si="9">((100+D$56)/100)^C201</f>
        <v>1.05</v>
      </c>
      <c r="F201" s="46">
        <f t="shared" ref="F201:F225" si="10">E201*D201</f>
        <v>1.0096153846153846</v>
      </c>
      <c r="G201" s="315">
        <v>1</v>
      </c>
      <c r="H201" s="19"/>
      <c r="J201" s="289">
        <f>SUM(D$201:D201)</f>
        <v>0.96153846153846145</v>
      </c>
      <c r="K201" s="285">
        <v>1</v>
      </c>
      <c r="L201" s="289">
        <f>SUM(F$201:F201)</f>
        <v>1.0096153846153846</v>
      </c>
      <c r="M201" s="288"/>
    </row>
    <row r="202" spans="1:13" hidden="1" x14ac:dyDescent="0.25">
      <c r="C202" s="156">
        <f t="shared" si="8"/>
        <v>2</v>
      </c>
      <c r="D202" s="46">
        <f t="shared" ref="D202:D225" si="11">1/((100+D$35)/100)^C202</f>
        <v>0.92455621301775137</v>
      </c>
      <c r="E202" s="275">
        <f t="shared" si="9"/>
        <v>1.1025</v>
      </c>
      <c r="F202" s="46">
        <f t="shared" si="10"/>
        <v>1.0193232248520709</v>
      </c>
      <c r="G202" s="315">
        <f>G201+1</f>
        <v>2</v>
      </c>
      <c r="H202" s="19"/>
      <c r="J202" s="289">
        <f>SUM(D$201:D202)</f>
        <v>1.8860946745562128</v>
      </c>
      <c r="K202" s="285">
        <f t="shared" ref="K202:K225" si="12">K201+1</f>
        <v>2</v>
      </c>
      <c r="L202" s="289">
        <f>SUM(F$201:F202)</f>
        <v>2.0289386094674553</v>
      </c>
      <c r="M202" s="288"/>
    </row>
    <row r="203" spans="1:13" hidden="1" x14ac:dyDescent="0.25">
      <c r="C203" s="156">
        <f t="shared" si="8"/>
        <v>3</v>
      </c>
      <c r="D203" s="46">
        <f t="shared" si="11"/>
        <v>0.88899635867091487</v>
      </c>
      <c r="E203" s="275">
        <f t="shared" si="9"/>
        <v>1.1576250000000001</v>
      </c>
      <c r="F203" s="46">
        <f t="shared" si="10"/>
        <v>1.0291244097064178</v>
      </c>
      <c r="G203" s="315">
        <f t="shared" ref="G203:G225" si="13">G202+1</f>
        <v>3</v>
      </c>
      <c r="H203" s="19"/>
      <c r="J203" s="289">
        <f>SUM(D$201:D203)</f>
        <v>2.7750910332271275</v>
      </c>
      <c r="K203" s="285">
        <f t="shared" si="12"/>
        <v>3</v>
      </c>
      <c r="L203" s="289">
        <f>SUM(F$201:F203)</f>
        <v>3.0580630191738729</v>
      </c>
      <c r="M203" s="288"/>
    </row>
    <row r="204" spans="1:13" hidden="1" x14ac:dyDescent="0.25">
      <c r="A204" s="24"/>
      <c r="B204" s="18"/>
      <c r="C204" s="156">
        <f t="shared" si="8"/>
        <v>4</v>
      </c>
      <c r="D204" s="46">
        <f t="shared" si="11"/>
        <v>0.85480419102972571</v>
      </c>
      <c r="E204" s="275">
        <f t="shared" si="9"/>
        <v>1.21550625</v>
      </c>
      <c r="F204" s="46">
        <f t="shared" si="10"/>
        <v>1.0390198367228256</v>
      </c>
      <c r="G204" s="315">
        <f t="shared" si="13"/>
        <v>4</v>
      </c>
      <c r="H204" s="19"/>
      <c r="J204" s="289">
        <f>SUM(D$201:D204)</f>
        <v>3.6298952242568534</v>
      </c>
      <c r="K204" s="285">
        <f t="shared" si="12"/>
        <v>4</v>
      </c>
      <c r="L204" s="289">
        <f>SUM(F$201:F204)</f>
        <v>4.0970828558966987</v>
      </c>
      <c r="M204" s="288"/>
    </row>
    <row r="205" spans="1:13" hidden="1" x14ac:dyDescent="0.25">
      <c r="A205" s="24"/>
      <c r="B205" s="18"/>
      <c r="C205" s="156">
        <f t="shared" si="8"/>
        <v>5</v>
      </c>
      <c r="D205" s="46">
        <f t="shared" si="11"/>
        <v>0.82192710675935154</v>
      </c>
      <c r="E205" s="275">
        <f t="shared" si="9"/>
        <v>1.2762815625000001</v>
      </c>
      <c r="F205" s="46">
        <f t="shared" si="10"/>
        <v>1.0490104120759296</v>
      </c>
      <c r="G205" s="315">
        <f t="shared" si="13"/>
        <v>5</v>
      </c>
      <c r="H205" s="19"/>
      <c r="J205" s="289">
        <f>SUM(D$201:D205)</f>
        <v>4.4518223310162046</v>
      </c>
      <c r="K205" s="285">
        <f t="shared" si="12"/>
        <v>5</v>
      </c>
      <c r="L205" s="289">
        <f>SUM(F$201:F205)</f>
        <v>5.1460932679726286</v>
      </c>
      <c r="M205" s="288"/>
    </row>
    <row r="206" spans="1:13" hidden="1" x14ac:dyDescent="0.25">
      <c r="A206" s="24"/>
      <c r="B206" s="18"/>
      <c r="C206" s="156">
        <f t="shared" si="8"/>
        <v>6</v>
      </c>
      <c r="D206" s="46">
        <f t="shared" si="11"/>
        <v>0.79031452573014571</v>
      </c>
      <c r="E206" s="275">
        <f t="shared" si="9"/>
        <v>1.340095640625</v>
      </c>
      <c r="F206" s="46">
        <f t="shared" si="10"/>
        <v>1.0590970506535826</v>
      </c>
      <c r="G206" s="315">
        <f t="shared" si="13"/>
        <v>6</v>
      </c>
      <c r="H206" s="19"/>
      <c r="J206" s="289">
        <f>SUM(D$201:D206)</f>
        <v>5.2421368567463507</v>
      </c>
      <c r="K206" s="285">
        <f t="shared" si="12"/>
        <v>6</v>
      </c>
      <c r="L206" s="289">
        <f>SUM(F$201:F206)</f>
        <v>6.2051903186262116</v>
      </c>
      <c r="M206" s="288"/>
    </row>
    <row r="207" spans="1:13" hidden="1" x14ac:dyDescent="0.25">
      <c r="A207" s="24"/>
      <c r="B207" s="18"/>
      <c r="C207" s="156">
        <f t="shared" si="8"/>
        <v>7</v>
      </c>
      <c r="D207" s="46">
        <f t="shared" si="11"/>
        <v>0.75991781320206331</v>
      </c>
      <c r="E207" s="275">
        <f t="shared" si="9"/>
        <v>1.4071004226562502</v>
      </c>
      <c r="F207" s="46">
        <f t="shared" si="10"/>
        <v>1.0692806761406366</v>
      </c>
      <c r="G207" s="315">
        <f t="shared" si="13"/>
        <v>7</v>
      </c>
      <c r="H207" s="19"/>
      <c r="J207" s="289">
        <f>SUM(D$201:D207)</f>
        <v>6.0020546699484143</v>
      </c>
      <c r="K207" s="285">
        <f t="shared" si="12"/>
        <v>7</v>
      </c>
      <c r="L207" s="289">
        <f>SUM(F$201:F207)</f>
        <v>7.2744709947668484</v>
      </c>
      <c r="M207" s="288"/>
    </row>
    <row r="208" spans="1:13" hidden="1" x14ac:dyDescent="0.25">
      <c r="A208" s="24"/>
      <c r="B208" s="18"/>
      <c r="C208" s="156">
        <f t="shared" si="8"/>
        <v>8</v>
      </c>
      <c r="D208" s="46">
        <f t="shared" si="11"/>
        <v>0.73069020500198378</v>
      </c>
      <c r="E208" s="275">
        <f t="shared" si="9"/>
        <v>1.4774554437890626</v>
      </c>
      <c r="F208" s="46">
        <f t="shared" si="10"/>
        <v>1.079562221103527</v>
      </c>
      <c r="G208" s="315">
        <f t="shared" si="13"/>
        <v>8</v>
      </c>
      <c r="H208" s="19"/>
      <c r="J208" s="289">
        <f>SUM(D$201:D208)</f>
        <v>6.7327448749503978</v>
      </c>
      <c r="K208" s="285">
        <f t="shared" si="12"/>
        <v>8</v>
      </c>
      <c r="L208" s="289">
        <f>SUM(F$201:F208)</f>
        <v>8.3540332158703752</v>
      </c>
      <c r="M208" s="288"/>
    </row>
    <row r="209" spans="1:14" hidden="1" x14ac:dyDescent="0.25">
      <c r="A209" s="24"/>
      <c r="B209" s="18"/>
      <c r="C209" s="156">
        <f t="shared" si="8"/>
        <v>9</v>
      </c>
      <c r="D209" s="46">
        <f t="shared" si="11"/>
        <v>0.70258673557883045</v>
      </c>
      <c r="E209" s="275">
        <f t="shared" si="9"/>
        <v>1.5513282159785158</v>
      </c>
      <c r="F209" s="46">
        <f t="shared" si="10"/>
        <v>1.0899426270756762</v>
      </c>
      <c r="G209" s="315">
        <f t="shared" si="13"/>
        <v>9</v>
      </c>
      <c r="H209" s="19"/>
      <c r="J209" s="289">
        <f>SUM(D$201:D209)</f>
        <v>7.4353316105292286</v>
      </c>
      <c r="K209" s="285">
        <f t="shared" si="12"/>
        <v>9</v>
      </c>
      <c r="L209" s="289">
        <f>SUM(F$201:F209)</f>
        <v>9.4439758429460507</v>
      </c>
      <c r="M209" s="288"/>
    </row>
    <row r="210" spans="1:14" hidden="1" x14ac:dyDescent="0.25">
      <c r="A210" s="24"/>
      <c r="B210" s="18"/>
      <c r="C210" s="156">
        <f t="shared" si="8"/>
        <v>10</v>
      </c>
      <c r="D210" s="459">
        <f t="shared" si="11"/>
        <v>0.67556416882579851</v>
      </c>
      <c r="E210" s="461">
        <f t="shared" si="9"/>
        <v>1.6288946267774416</v>
      </c>
      <c r="F210" s="46">
        <f t="shared" si="10"/>
        <v>1.1004228446437117</v>
      </c>
      <c r="G210" s="315">
        <f t="shared" si="13"/>
        <v>10</v>
      </c>
      <c r="H210" s="19"/>
      <c r="J210" s="289">
        <f>SUM(D$201:D210)</f>
        <v>8.1108957793550278</v>
      </c>
      <c r="K210" s="285">
        <f t="shared" si="12"/>
        <v>10</v>
      </c>
      <c r="L210" s="289">
        <f>SUM(F$201:F210)</f>
        <v>10.544398687589762</v>
      </c>
      <c r="M210" s="288"/>
      <c r="N210" s="288">
        <f>1/0.045*(1-1/(1.045)^G210)</f>
        <v>7.9127181771101496</v>
      </c>
    </row>
    <row r="211" spans="1:14" hidden="1" x14ac:dyDescent="0.25">
      <c r="A211" s="24"/>
      <c r="B211" s="18"/>
      <c r="C211" s="156">
        <f t="shared" si="8"/>
        <v>11</v>
      </c>
      <c r="D211" s="46">
        <f t="shared" si="11"/>
        <v>0.6495809315632679</v>
      </c>
      <c r="E211" s="275">
        <f t="shared" si="9"/>
        <v>1.7103393581163138</v>
      </c>
      <c r="F211" s="46">
        <f t="shared" si="10"/>
        <v>1.1110038335345167</v>
      </c>
      <c r="G211" s="315">
        <f t="shared" si="13"/>
        <v>11</v>
      </c>
      <c r="H211" s="19"/>
      <c r="J211" s="289">
        <f>SUM(D$201:D211)</f>
        <v>8.7604767109182955</v>
      </c>
      <c r="K211" s="285">
        <f t="shared" si="12"/>
        <v>11</v>
      </c>
      <c r="L211" s="289">
        <f>SUM(F$201:F211)</f>
        <v>11.655402521124278</v>
      </c>
      <c r="M211" s="288"/>
      <c r="N211" s="288"/>
    </row>
    <row r="212" spans="1:14" hidden="1" x14ac:dyDescent="0.25">
      <c r="A212" s="24"/>
      <c r="B212" s="18"/>
      <c r="C212" s="156">
        <f t="shared" si="8"/>
        <v>12</v>
      </c>
      <c r="D212" s="46">
        <f t="shared" si="11"/>
        <v>0.62459704958006512</v>
      </c>
      <c r="E212" s="275">
        <f t="shared" si="9"/>
        <v>1.7958563260221292</v>
      </c>
      <c r="F212" s="46">
        <f t="shared" si="10"/>
        <v>1.1216865627031174</v>
      </c>
      <c r="G212" s="315">
        <f t="shared" si="13"/>
        <v>12</v>
      </c>
      <c r="H212" s="19"/>
      <c r="J212" s="289">
        <f>SUM(D$201:D212)</f>
        <v>9.3850737604983614</v>
      </c>
      <c r="K212" s="285">
        <f t="shared" si="12"/>
        <v>12</v>
      </c>
      <c r="L212" s="289">
        <f>SUM(F$201:F212)</f>
        <v>12.777089083827395</v>
      </c>
      <c r="M212" s="288"/>
      <c r="N212" s="288"/>
    </row>
    <row r="213" spans="1:14" hidden="1" x14ac:dyDescent="0.25">
      <c r="A213" s="24"/>
      <c r="B213" s="18"/>
      <c r="C213" s="156">
        <f t="shared" si="8"/>
        <v>13</v>
      </c>
      <c r="D213" s="46">
        <f t="shared" si="11"/>
        <v>0.600574086134678</v>
      </c>
      <c r="E213" s="275">
        <f t="shared" si="9"/>
        <v>1.885649142323236</v>
      </c>
      <c r="F213" s="46">
        <f t="shared" si="10"/>
        <v>1.1324720104214168</v>
      </c>
      <c r="G213" s="315">
        <f t="shared" si="13"/>
        <v>13</v>
      </c>
      <c r="H213" s="19"/>
      <c r="J213" s="289">
        <f>SUM(D$201:D213)</f>
        <v>9.9856478466330394</v>
      </c>
      <c r="K213" s="285">
        <f t="shared" si="12"/>
        <v>13</v>
      </c>
      <c r="L213" s="289">
        <f>SUM(F$201:F213)</f>
        <v>13.909561094248811</v>
      </c>
      <c r="M213" s="288"/>
      <c r="N213" s="288"/>
    </row>
    <row r="214" spans="1:14" hidden="1" x14ac:dyDescent="0.25">
      <c r="A214" s="24"/>
      <c r="B214" s="18"/>
      <c r="C214" s="156">
        <f t="shared" si="8"/>
        <v>14</v>
      </c>
      <c r="D214" s="46">
        <f t="shared" si="11"/>
        <v>0.57747508282180582</v>
      </c>
      <c r="E214" s="275">
        <f t="shared" si="9"/>
        <v>1.9799315994393973</v>
      </c>
      <c r="F214" s="46">
        <f t="shared" si="10"/>
        <v>1.1433611643677764</v>
      </c>
      <c r="G214" s="315">
        <f t="shared" si="13"/>
        <v>14</v>
      </c>
      <c r="H214" s="19"/>
      <c r="J214" s="289">
        <f>SUM(D$201:D214)</f>
        <v>10.563122929454845</v>
      </c>
      <c r="K214" s="285">
        <f t="shared" si="12"/>
        <v>14</v>
      </c>
      <c r="L214" s="289">
        <f>SUM(F$201:F214)</f>
        <v>15.052922258616588</v>
      </c>
      <c r="M214" s="288"/>
      <c r="N214" s="288"/>
    </row>
    <row r="215" spans="1:14" hidden="1" x14ac:dyDescent="0.25">
      <c r="A215" s="24"/>
      <c r="B215" s="18"/>
      <c r="C215" s="156">
        <f t="shared" si="8"/>
        <v>15</v>
      </c>
      <c r="D215" s="46">
        <f t="shared" si="11"/>
        <v>0.55526450271327477</v>
      </c>
      <c r="E215" s="275">
        <f t="shared" si="9"/>
        <v>2.0789281794113679</v>
      </c>
      <c r="F215" s="46">
        <f t="shared" si="10"/>
        <v>1.1543550217174667</v>
      </c>
      <c r="G215" s="315">
        <f t="shared" si="13"/>
        <v>15</v>
      </c>
      <c r="H215" s="19"/>
      <c r="J215" s="289">
        <f>SUM(D$201:D215)</f>
        <v>11.11838743216812</v>
      </c>
      <c r="K215" s="285">
        <f t="shared" si="12"/>
        <v>15</v>
      </c>
      <c r="L215" s="289">
        <f>SUM(F$201:F215)</f>
        <v>16.207277280334054</v>
      </c>
      <c r="M215" s="288"/>
      <c r="N215" s="288"/>
    </row>
    <row r="216" spans="1:14" hidden="1" x14ac:dyDescent="0.25">
      <c r="A216" s="24"/>
      <c r="B216" s="18"/>
      <c r="C216" s="156">
        <f t="shared" si="8"/>
        <v>16</v>
      </c>
      <c r="D216" s="46">
        <f t="shared" si="11"/>
        <v>0.53390817568584104</v>
      </c>
      <c r="E216" s="275">
        <f t="shared" si="9"/>
        <v>2.182874588381936</v>
      </c>
      <c r="F216" s="46">
        <f t="shared" si="10"/>
        <v>1.1654545892339807</v>
      </c>
      <c r="G216" s="315">
        <f t="shared" si="13"/>
        <v>16</v>
      </c>
      <c r="H216" s="19"/>
      <c r="J216" s="289">
        <f>SUM(D$201:D216)</f>
        <v>11.652295607853961</v>
      </c>
      <c r="K216" s="285">
        <f t="shared" si="12"/>
        <v>16</v>
      </c>
      <c r="L216" s="289">
        <f>SUM(F$201:F216)</f>
        <v>17.372731869568035</v>
      </c>
      <c r="M216" s="288"/>
      <c r="N216" s="288"/>
    </row>
    <row r="217" spans="1:14" hidden="1" x14ac:dyDescent="0.25">
      <c r="A217" s="24"/>
      <c r="B217" s="18"/>
      <c r="C217" s="156">
        <f t="shared" si="8"/>
        <v>17</v>
      </c>
      <c r="D217" s="46">
        <f t="shared" si="11"/>
        <v>0.51337324585177024</v>
      </c>
      <c r="E217" s="275">
        <f t="shared" si="9"/>
        <v>2.2920183178010332</v>
      </c>
      <c r="F217" s="46">
        <f t="shared" si="10"/>
        <v>1.1766608833612306</v>
      </c>
      <c r="G217" s="315">
        <f t="shared" si="13"/>
        <v>17</v>
      </c>
      <c r="H217" s="19"/>
      <c r="J217" s="289">
        <f>SUM(D$201:D217)</f>
        <v>12.165668853705732</v>
      </c>
      <c r="K217" s="285">
        <f t="shared" si="12"/>
        <v>17</v>
      </c>
      <c r="L217" s="289">
        <f>SUM(F$201:F217)</f>
        <v>18.549392752929265</v>
      </c>
      <c r="M217" s="288"/>
      <c r="N217" s="288"/>
    </row>
    <row r="218" spans="1:14" hidden="1" x14ac:dyDescent="0.25">
      <c r="A218" s="24"/>
      <c r="B218" s="18"/>
      <c r="C218" s="156">
        <f t="shared" si="8"/>
        <v>18</v>
      </c>
      <c r="D218" s="46">
        <f t="shared" si="11"/>
        <v>0.49362812101131748</v>
      </c>
      <c r="E218" s="275">
        <f t="shared" si="9"/>
        <v>2.4066192336910848</v>
      </c>
      <c r="F218" s="46">
        <f t="shared" si="10"/>
        <v>1.1879749303166269</v>
      </c>
      <c r="G218" s="315">
        <f t="shared" si="13"/>
        <v>18</v>
      </c>
      <c r="H218" s="19"/>
      <c r="J218" s="289">
        <f>SUM(D$201:D218)</f>
        <v>12.65929697471705</v>
      </c>
      <c r="K218" s="285">
        <f t="shared" si="12"/>
        <v>18</v>
      </c>
      <c r="L218" s="289">
        <f>SUM(F$201:F218)</f>
        <v>19.737367683245893</v>
      </c>
      <c r="M218" s="288"/>
      <c r="N218" s="288"/>
    </row>
    <row r="219" spans="1:14" hidden="1" x14ac:dyDescent="0.25">
      <c r="A219" s="24"/>
      <c r="B219" s="18"/>
      <c r="C219" s="156">
        <f t="shared" si="8"/>
        <v>19</v>
      </c>
      <c r="D219" s="46">
        <f t="shared" si="11"/>
        <v>0.47464242404934376</v>
      </c>
      <c r="E219" s="275">
        <f t="shared" si="9"/>
        <v>2.526950195375639</v>
      </c>
      <c r="F219" s="46">
        <f t="shared" si="10"/>
        <v>1.1993977661850561</v>
      </c>
      <c r="G219" s="315">
        <f t="shared" si="13"/>
        <v>19</v>
      </c>
      <c r="H219" s="19"/>
      <c r="J219" s="289">
        <f>SUM(D$201:D219)</f>
        <v>13.133939398766394</v>
      </c>
      <c r="K219" s="285">
        <f t="shared" si="12"/>
        <v>19</v>
      </c>
      <c r="L219" s="289">
        <f>SUM(F$201:F219)</f>
        <v>20.936765449430951</v>
      </c>
      <c r="M219" s="288"/>
      <c r="N219" s="288"/>
    </row>
    <row r="220" spans="1:14" hidden="1" x14ac:dyDescent="0.25">
      <c r="A220" s="24"/>
      <c r="B220" s="18"/>
      <c r="C220" s="156">
        <f t="shared" si="8"/>
        <v>20</v>
      </c>
      <c r="D220" s="46">
        <f t="shared" si="11"/>
        <v>0.45638694620129205</v>
      </c>
      <c r="E220" s="275">
        <f t="shared" si="9"/>
        <v>2.6532977051444209</v>
      </c>
      <c r="F220" s="46">
        <f t="shared" si="10"/>
        <v>1.2109304370137586</v>
      </c>
      <c r="G220" s="315">
        <f t="shared" si="13"/>
        <v>20</v>
      </c>
      <c r="H220" s="19"/>
      <c r="J220" s="289">
        <f>SUM(D$201:D220)</f>
        <v>13.590326344967686</v>
      </c>
      <c r="K220" s="285">
        <f t="shared" si="12"/>
        <v>20</v>
      </c>
      <c r="L220" s="289">
        <f>SUM(F$201:F220)</f>
        <v>22.147695886444708</v>
      </c>
      <c r="M220" s="288"/>
      <c r="N220" s="288"/>
    </row>
    <row r="221" spans="1:14" hidden="1" x14ac:dyDescent="0.25">
      <c r="A221" s="24"/>
      <c r="B221" s="18"/>
      <c r="C221" s="156">
        <f t="shared" si="8"/>
        <v>21</v>
      </c>
      <c r="D221" s="46">
        <f t="shared" si="11"/>
        <v>0.43883360211662686</v>
      </c>
      <c r="E221" s="275">
        <f t="shared" si="9"/>
        <v>2.7859625904016418</v>
      </c>
      <c r="F221" s="46">
        <f t="shared" si="10"/>
        <v>1.2225739989081212</v>
      </c>
      <c r="G221" s="315">
        <f t="shared" si="13"/>
        <v>21</v>
      </c>
      <c r="H221" s="19"/>
      <c r="J221" s="289">
        <f>SUM(D$201:D221)</f>
        <v>14.029159947084313</v>
      </c>
      <c r="K221" s="285">
        <f t="shared" si="12"/>
        <v>21</v>
      </c>
      <c r="L221" s="289">
        <f>SUM(F$201:F221)</f>
        <v>23.37026988535283</v>
      </c>
      <c r="M221" s="288"/>
      <c r="N221" s="288"/>
    </row>
    <row r="222" spans="1:14" hidden="1" x14ac:dyDescent="0.25">
      <c r="A222" s="24"/>
      <c r="B222" s="18"/>
      <c r="C222" s="156">
        <f t="shared" si="8"/>
        <v>22</v>
      </c>
      <c r="D222" s="46">
        <f t="shared" si="11"/>
        <v>0.42195538665060278</v>
      </c>
      <c r="E222" s="275">
        <f t="shared" si="9"/>
        <v>2.9252607199217238</v>
      </c>
      <c r="F222" s="46">
        <f t="shared" si="10"/>
        <v>1.2343295181283915</v>
      </c>
      <c r="G222" s="315">
        <f t="shared" si="13"/>
        <v>22</v>
      </c>
      <c r="H222" s="19"/>
      <c r="J222" s="289">
        <f>SUM(D$201:D222)</f>
        <v>14.451115333734917</v>
      </c>
      <c r="K222" s="285">
        <f t="shared" si="12"/>
        <v>22</v>
      </c>
      <c r="L222" s="289">
        <f>SUM(F$201:F222)</f>
        <v>24.60459940348122</v>
      </c>
      <c r="M222" s="288"/>
      <c r="N222" s="288"/>
    </row>
    <row r="223" spans="1:14" hidden="1" x14ac:dyDescent="0.25">
      <c r="A223" s="24"/>
      <c r="B223" s="18"/>
      <c r="C223" s="156">
        <f t="shared" si="8"/>
        <v>23</v>
      </c>
      <c r="D223" s="46">
        <f t="shared" si="11"/>
        <v>0.40572633331788732</v>
      </c>
      <c r="E223" s="275">
        <f t="shared" si="9"/>
        <v>3.0715237559178106</v>
      </c>
      <c r="F223" s="46">
        <f t="shared" si="10"/>
        <v>1.2461980711873188</v>
      </c>
      <c r="G223" s="315">
        <f t="shared" si="13"/>
        <v>23</v>
      </c>
      <c r="H223" s="19"/>
      <c r="J223" s="289">
        <f>SUM(D$201:D223)</f>
        <v>14.856841667052803</v>
      </c>
      <c r="K223" s="285">
        <f t="shared" si="12"/>
        <v>23</v>
      </c>
      <c r="L223" s="289">
        <f>SUM(F$201:F223)</f>
        <v>25.850797474668539</v>
      </c>
      <c r="M223" s="288"/>
      <c r="N223" s="288"/>
    </row>
    <row r="224" spans="1:14" hidden="1" x14ac:dyDescent="0.25">
      <c r="A224" s="24"/>
      <c r="B224" s="18"/>
      <c r="C224" s="156">
        <f t="shared" si="8"/>
        <v>24</v>
      </c>
      <c r="D224" s="46">
        <f t="shared" si="11"/>
        <v>0.39012147434412242</v>
      </c>
      <c r="E224" s="275">
        <f t="shared" si="9"/>
        <v>3.2250999437137007</v>
      </c>
      <c r="F224" s="46">
        <f t="shared" si="10"/>
        <v>1.2581807449487352</v>
      </c>
      <c r="G224" s="315">
        <f t="shared" si="13"/>
        <v>24</v>
      </c>
      <c r="H224" s="19"/>
      <c r="J224" s="289">
        <f>SUM(D$201:D224)</f>
        <v>15.246963141396925</v>
      </c>
      <c r="K224" s="285">
        <f t="shared" si="12"/>
        <v>24</v>
      </c>
      <c r="L224" s="289">
        <f>SUM(F$201:F224)</f>
        <v>27.108978219617274</v>
      </c>
      <c r="M224" s="288"/>
      <c r="N224" s="288"/>
    </row>
    <row r="225" spans="1:14" hidden="1" x14ac:dyDescent="0.25">
      <c r="A225" s="24"/>
      <c r="B225" s="18"/>
      <c r="C225" s="156">
        <f t="shared" si="8"/>
        <v>25</v>
      </c>
      <c r="D225" s="46">
        <f t="shared" si="11"/>
        <v>0.37511680225396377</v>
      </c>
      <c r="E225" s="275">
        <f t="shared" si="9"/>
        <v>3.3863549408993858</v>
      </c>
      <c r="F225" s="46">
        <f t="shared" si="10"/>
        <v>1.270278636727088</v>
      </c>
      <c r="G225" s="315">
        <f t="shared" si="13"/>
        <v>25</v>
      </c>
      <c r="H225" s="19"/>
      <c r="J225" s="289">
        <f>SUM(D$201:D225)</f>
        <v>15.622079943650888</v>
      </c>
      <c r="K225" s="285">
        <f t="shared" si="12"/>
        <v>25</v>
      </c>
      <c r="L225" s="289">
        <f>SUM(F$201:F225)</f>
        <v>28.379256856344362</v>
      </c>
      <c r="M225" s="288"/>
      <c r="N225" s="288">
        <f>1/0.045*(1-1/(1.045)^G225)</f>
        <v>14.828208962712639</v>
      </c>
    </row>
    <row r="226" spans="1:14" hidden="1" x14ac:dyDescent="0.25">
      <c r="A226" s="24"/>
      <c r="B226" s="18"/>
      <c r="G226" s="316"/>
      <c r="H226" s="32"/>
    </row>
    <row r="227" spans="1:14" hidden="1" x14ac:dyDescent="0.25">
      <c r="H227" s="32"/>
    </row>
    <row r="228" spans="1:14" hidden="1" x14ac:dyDescent="0.25">
      <c r="H228" s="32"/>
    </row>
    <row r="229" spans="1:14" hidden="1" x14ac:dyDescent="0.25">
      <c r="H229" s="32"/>
    </row>
    <row r="230" spans="1:14" hidden="1" x14ac:dyDescent="0.25">
      <c r="H230" s="32"/>
    </row>
    <row r="231" spans="1:14" hidden="1" x14ac:dyDescent="0.25">
      <c r="H231" s="32"/>
    </row>
    <row r="232" spans="1:14" hidden="1" x14ac:dyDescent="0.25">
      <c r="H232" s="32"/>
    </row>
    <row r="233" spans="1:14" hidden="1" x14ac:dyDescent="0.25"/>
    <row r="234" spans="1:14" hidden="1" x14ac:dyDescent="0.25"/>
    <row r="235" spans="1:14" hidden="1" x14ac:dyDescent="0.25"/>
    <row r="236" spans="1:14" hidden="1" x14ac:dyDescent="0.25"/>
    <row r="237" spans="1:14" hidden="1" x14ac:dyDescent="0.25"/>
    <row r="238" spans="1:14" hidden="1" x14ac:dyDescent="0.25"/>
    <row r="239" spans="1:14" hidden="1" x14ac:dyDescent="0.25"/>
    <row r="240" spans="1:14" hidden="1" x14ac:dyDescent="0.25"/>
    <row r="241" hidden="1" x14ac:dyDescent="0.25"/>
    <row r="242" hidden="1" x14ac:dyDescent="0.25"/>
    <row r="243" hidden="1" x14ac:dyDescent="0.25"/>
    <row r="244" hidden="1" x14ac:dyDescent="0.25"/>
    <row r="245" hidden="1" x14ac:dyDescent="0.25"/>
  </sheetData>
  <sheetProtection algorithmName="SHA-512" hashValue="QFC2k33ZPueFuVBivNUqqeqYHkPZiqtM0chSJoj4blMsxPBpMPVl29LNQu5V088oa2kCFVvkrLcVP4CgvemBIQ==" saltValue="odV8b4KiQTvAVPMwaQ6R8Q==" spinCount="100000" sheet="1" objects="1" scenarios="1"/>
  <mergeCells count="30">
    <mergeCell ref="H69:H80"/>
    <mergeCell ref="D187:E187"/>
    <mergeCell ref="D188:E188"/>
    <mergeCell ref="D189:E189"/>
    <mergeCell ref="C164:I164"/>
    <mergeCell ref="H95:H97"/>
    <mergeCell ref="H103:H106"/>
    <mergeCell ref="H120:H122"/>
    <mergeCell ref="H108:H110"/>
    <mergeCell ref="D93:H93"/>
    <mergeCell ref="D186:E186"/>
    <mergeCell ref="A172:C172"/>
    <mergeCell ref="A174:C174"/>
    <mergeCell ref="H112:H115"/>
    <mergeCell ref="H142:H145"/>
    <mergeCell ref="H152:H154"/>
    <mergeCell ref="H62:H64"/>
    <mergeCell ref="A1:E1"/>
    <mergeCell ref="F1:H1"/>
    <mergeCell ref="C3:H3"/>
    <mergeCell ref="C6:H6"/>
    <mergeCell ref="H57:H59"/>
    <mergeCell ref="C12:H12"/>
    <mergeCell ref="H52:H54"/>
    <mergeCell ref="H39:H42"/>
    <mergeCell ref="D7:H7"/>
    <mergeCell ref="D8:H8"/>
    <mergeCell ref="D9:H9"/>
    <mergeCell ref="D44:F44"/>
    <mergeCell ref="E45:F45"/>
  </mergeCells>
  <conditionalFormatting sqref="D38">
    <cfRule type="expression" dxfId="5" priority="1">
      <formula>#REF!="Norge"</formula>
    </cfRule>
  </conditionalFormatting>
  <dataValidations count="24">
    <dataValidation type="custom" allowBlank="1" showInputMessage="1" showErrorMessage="1" sqref="D57:D59">
      <formula1>IF(SUM(D$57:D$59)&gt;100,FALSE,TRUE)</formula1>
    </dataValidation>
    <dataValidation type="custom" allowBlank="1" showInputMessage="1" showErrorMessage="1" errorTitle="For mange i kø/tett trafikk" error="Summen av andelene i kø/tett trafikk kan ikke være større enn 100." sqref="D69:E70">
      <formula1>IF(D$71&lt;0,FALSE,TRUE)</formula1>
    </dataValidation>
    <dataValidation type="custom" allowBlank="1" showInputMessage="1" showErrorMessage="1" errorTitle="For mange i kø/tett trafikk" error="Summen av andelene i kø/tett trafikk kan ikke være større enn 100." sqref="D73:E74">
      <formula1>IF(D$75&lt;0,FALSE,TRUE)</formula1>
    </dataValidation>
    <dataValidation type="custom" allowBlank="1" showInputMessage="1" showErrorMessage="1" errorTitle="For mange i kø/tett trafikk" error="Summen av andelene i kø/tett trafikk kan ikke være større enn 100." sqref="D77:E78">
      <formula1>IF(D$79&lt;0,FALSE,TRUE)</formula1>
    </dataValidation>
    <dataValidation showInputMessage="1" promptTitle="Standard: -24" prompt="(en annen verdi kan oppgis)" sqref="D66"/>
    <dataValidation allowBlank="1" showInputMessage="1" showErrorMessage="1" promptTitle="Tiltak B" prompt="Beskrivelse av informasjon som vises med tiltak B (valgfri)" sqref="D8:H8"/>
    <dataValidation allowBlank="1" showInputMessage="1" showErrorMessage="1" promptTitle="Tiltak A" prompt="Beskrivelse av informasjon som vises med tiltak A" sqref="D7:H7"/>
    <dataValidation allowBlank="1" showInputMessage="1" showErrorMessage="1" promptTitle="Tiltak C" prompt="Beskrivelse av informasjon som vises med tiltak C (valgfri)" sqref="D9:H9"/>
    <dataValidation allowBlank="1" showInputMessage="1" showErrorMessage="1" prompt="Hvis tiltaket har en analyseperiode på under ett år må summen av alle påløpende kostnader oppgis under installasjon (ingen kostnader under årlig drift)." sqref="D41:F42"/>
    <dataValidation allowBlank="1" showInputMessage="1" showErrorMessage="1" promptTitle="Beskrivelse av tiltaket" prompt="Her kan man for eksempel skrive mer om de enkelte tiltaksvariantene, f.eks. hvorfor enkelte nyttekomponenter er utelatt fra analysene." sqref="H14:H16"/>
    <dataValidation showInputMessage="1" promptTitle="Standard: -10" prompt="(en annen verdi kan oppgis)" sqref="E66"/>
    <dataValidation showInputMessage="1" promptTitle="Standard: -37" prompt="(en annen verdi kan oppgis)" sqref="F66"/>
    <dataValidation allowBlank="1" showInputMessage="1" showErrorMessage="1" prompt="Andel av alle kjøreøty som er peronbiler på arbeidsreiser i prosent" sqref="D53"/>
    <dataValidation allowBlank="1" showInputMessage="1" showErrorMessage="1" prompt="Andel av alle kjøreøty som er i yrkestrafikk i prosent" sqref="D54:D55"/>
    <dataValidation allowBlank="1" showInputMessage="1" showErrorMessage="1" prompt="Verdsetting av reisetids- (eller annen) informasjon i kroner per personbil på arbeidsreise" sqref="E53"/>
    <dataValidation allowBlank="1" showInputMessage="1" showErrorMessage="1" prompt="Verdsetting av reisetids- (eller annen) informasjon i kroner per kjøretøy i yrkestrafikk" sqref="E54:E55"/>
    <dataValidation type="list" allowBlank="1" showInputMessage="1" showErrorMessage="1" promptTitle="Standard: Ja" prompt="Ja hvis nytten skal være med,_x000a_Kan settes til Nei hvis nyttekomponenten ikke skal være med i nyttekostnadsberegningene." sqref="D14:F14">
      <formula1>$J$14:$J$15</formula1>
    </dataValidation>
    <dataValidation type="list" allowBlank="1" showInputMessage="1" showErrorMessage="1" promptTitle="Valgfri" prompt="Ja hvis verdsettingen av informasjon (f.eks. reisetidsinformasjon) skal være med,_x000a_Nei hvis verdsetting av informasjon ikke skal være med i nyttekostnadsberegningene." sqref="G14:G16">
      <formula1>$J$14:$J$15</formula1>
    </dataValidation>
    <dataValidation type="list" allowBlank="1" showInputMessage="1" showErrorMessage="1" promptTitle="Standard: Nei" prompt="Som standard skal tiltak B/C ikke spesifiseres og ikke være med i beregningen av den samlede samfunnsøkonoimske nytten._x000a_Tiltak B/C kan være med (velg &quot;Ja&quot;) hvis det foreligger godt grunnlag for å estimere virkningen." sqref="D15:F16">
      <formula1>$J$14:$J$15</formula1>
    </dataValidation>
    <dataValidation showInputMessage="1" showErrorMessage="1" sqref="D56"/>
    <dataValidation type="list" showInputMessage="1" errorTitle="Feil verdi" error="Analyseperioden må være mellom 0 og 25 år" promptTitle="Standard: 10 år" prompt="Mellom 0 og 25 år._x000a_Kan f.eks. settes til 0,25 hvis tiltaket skal brukes i 3 måneder (f.eks. i vegarbeidsområde)." sqref="D34">
      <formula1>$J$34:$J$35</formula1>
    </dataValidation>
    <dataValidation allowBlank="1" showInputMessage="1" showErrorMessage="1" promptTitle="Beskrivelse av tiltaket" prompt="Her kan man for eksempel beskrive tiltaket og de viktigste beregningsforutsetningene, legge inn kommentarer, …" sqref="C3:H3"/>
    <dataValidation allowBlank="1" showInputMessage="1" showErrorMessage="1" promptTitle="Hva heter tiltaket?" prompt="Her kan man skrive inn hva tiltaket heter." sqref="F1:H1"/>
    <dataValidation type="list" allowBlank="1" showInputMessage="1" showErrorMessage="1" sqref="E45:F45">
      <formula1>$J$45:$J$47</formula1>
    </dataValidation>
  </dataValidations>
  <pageMargins left="0.70866141732283472" right="0.39370078740157483" top="0.78740157480314965" bottom="0.78740157480314965" header="0.31496062992125984" footer="0.31496062992125984"/>
  <pageSetup paperSize="9" scale="78" fitToHeight="0" orientation="landscape" r:id="rId1"/>
  <headerFooter>
    <oddFooter>&amp;LITS-Virkningsberegninger
TØI-Rapport 1289/2013&amp;C&amp;"-,Fet"&amp;12&amp;A&amp;RSide &amp;P</oddFooter>
  </headerFooter>
  <rowBreaks count="5" manualBreakCount="5">
    <brk id="32" max="16383" man="1"/>
    <brk id="80" max="16383" man="1"/>
    <brk id="155" max="16383" man="1"/>
    <brk id="161" max="16383" man="1"/>
    <brk id="175" max="16383" man="1"/>
  </rowBreaks>
  <colBreaks count="1" manualBreakCount="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'Data-beregninger'!$B$25:$B$34</xm:f>
          </x14:formula1>
          <xm:sqref>D44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rgb="FF00B050"/>
    <pageSetUpPr fitToPage="1"/>
  </sheetPr>
  <dimension ref="A1:Q217"/>
  <sheetViews>
    <sheetView showGridLines="0" zoomScaleNormal="100" workbookViewId="0">
      <pane ySplit="1" topLeftCell="A2" activePane="bottomLeft" state="frozen"/>
      <selection sqref="A1:E1"/>
      <selection pane="bottomLeft" sqref="A1:E1"/>
    </sheetView>
  </sheetViews>
  <sheetFormatPr baseColWidth="10" defaultColWidth="0" defaultRowHeight="15" customHeight="1" zeroHeight="1" x14ac:dyDescent="0.25"/>
  <cols>
    <col min="1" max="1" width="3.85546875" style="31" customWidth="1"/>
    <col min="2" max="2" width="1.28515625" style="31" customWidth="1"/>
    <col min="3" max="3" width="27.140625" style="19" customWidth="1"/>
    <col min="4" max="6" width="11.5703125" style="19" customWidth="1"/>
    <col min="7" max="7" width="5.5703125" style="333" customWidth="1"/>
    <col min="8" max="8" width="97.85546875" style="19" customWidth="1"/>
    <col min="9" max="9" width="1.28515625" style="19" customWidth="1"/>
    <col min="10" max="10" width="11.42578125" style="48" hidden="1" customWidth="1"/>
    <col min="11" max="11" width="12.85546875" style="48" hidden="1" customWidth="1"/>
    <col min="12" max="16384" width="11.42578125" style="319" hidden="1"/>
  </cols>
  <sheetData>
    <row r="1" spans="1:16" s="297" customFormat="1" ht="21" x14ac:dyDescent="0.25">
      <c r="A1" s="146" t="s">
        <v>944</v>
      </c>
      <c r="B1" s="18"/>
      <c r="C1" s="18"/>
      <c r="D1" s="18"/>
      <c r="E1" s="18"/>
      <c r="F1" s="814"/>
      <c r="G1" s="814"/>
      <c r="H1" s="814"/>
      <c r="I1" s="296"/>
      <c r="J1" s="136" t="s">
        <v>57</v>
      </c>
      <c r="K1" s="48"/>
      <c r="L1" s="319"/>
      <c r="M1" s="319"/>
      <c r="N1" s="319"/>
      <c r="O1" s="319"/>
    </row>
    <row r="2" spans="1:16" s="297" customFormat="1" ht="18.75" x14ac:dyDescent="0.25">
      <c r="A2" s="144" t="s">
        <v>118</v>
      </c>
      <c r="B2" s="145"/>
      <c r="C2" s="18"/>
      <c r="D2" s="296"/>
      <c r="E2" s="296"/>
      <c r="F2" s="296"/>
      <c r="G2" s="330"/>
      <c r="H2" s="21"/>
      <c r="I2" s="296"/>
      <c r="J2" s="48"/>
      <c r="K2" s="48"/>
      <c r="L2" s="319"/>
      <c r="M2" s="319"/>
      <c r="N2" s="319"/>
      <c r="O2" s="319"/>
    </row>
    <row r="3" spans="1:16" s="24" customFormat="1" ht="74.25" customHeight="1" x14ac:dyDescent="0.25">
      <c r="B3" s="146"/>
      <c r="C3" s="815"/>
      <c r="D3" s="815"/>
      <c r="E3" s="815"/>
      <c r="F3" s="815"/>
      <c r="G3" s="816"/>
      <c r="H3" s="815"/>
      <c r="I3" s="296"/>
      <c r="J3" s="136" t="s">
        <v>57</v>
      </c>
      <c r="K3" s="48"/>
      <c r="L3" s="137"/>
      <c r="M3" s="19"/>
      <c r="N3" s="19"/>
      <c r="O3" s="19"/>
      <c r="P3" s="18"/>
    </row>
    <row r="4" spans="1:16" s="297" customFormat="1" ht="5.0999999999999996" customHeight="1" x14ac:dyDescent="0.25">
      <c r="A4" s="24"/>
      <c r="B4" s="146"/>
      <c r="C4" s="293"/>
      <c r="D4" s="293"/>
      <c r="E4" s="293"/>
      <c r="F4" s="293"/>
      <c r="G4" s="331"/>
      <c r="H4" s="293"/>
      <c r="I4" s="18"/>
      <c r="J4" s="136"/>
      <c r="K4" s="48"/>
      <c r="L4" s="319"/>
      <c r="M4" s="319"/>
      <c r="N4" s="319"/>
      <c r="O4" s="319"/>
    </row>
    <row r="5" spans="1:16" s="297" customFormat="1" ht="18.75" x14ac:dyDescent="0.3">
      <c r="A5" s="207" t="s">
        <v>324</v>
      </c>
      <c r="B5" s="147"/>
      <c r="C5" s="24"/>
      <c r="D5" s="62"/>
      <c r="E5" s="18"/>
      <c r="F5" s="18"/>
      <c r="G5" s="330"/>
      <c r="H5" s="25"/>
      <c r="I5" s="18"/>
      <c r="J5" s="137"/>
      <c r="K5" s="48"/>
      <c r="L5" s="319"/>
      <c r="M5" s="319"/>
      <c r="N5" s="319"/>
      <c r="O5" s="319"/>
    </row>
    <row r="6" spans="1:16" s="297" customFormat="1" ht="62.25" customHeight="1" x14ac:dyDescent="0.25">
      <c r="A6" s="147"/>
      <c r="B6" s="147"/>
      <c r="C6" s="851" t="s">
        <v>1006</v>
      </c>
      <c r="D6" s="850"/>
      <c r="E6" s="850"/>
      <c r="F6" s="850"/>
      <c r="G6" s="850"/>
      <c r="H6" s="850"/>
      <c r="I6" s="18"/>
      <c r="J6" s="48"/>
      <c r="K6" s="48"/>
      <c r="L6" s="319"/>
      <c r="M6" s="319"/>
      <c r="N6" s="319"/>
      <c r="O6" s="319"/>
    </row>
    <row r="7" spans="1:16" s="297" customFormat="1" ht="30" customHeight="1" x14ac:dyDescent="0.25">
      <c r="A7" s="147"/>
      <c r="B7" s="147"/>
      <c r="C7" s="18"/>
      <c r="D7" s="299" t="s">
        <v>166</v>
      </c>
      <c r="E7" s="302" t="s">
        <v>611</v>
      </c>
      <c r="F7" s="302" t="s">
        <v>627</v>
      </c>
      <c r="G7" s="354" t="s">
        <v>323</v>
      </c>
      <c r="H7" s="25"/>
      <c r="I7" s="18"/>
      <c r="J7" s="48" t="s">
        <v>167</v>
      </c>
      <c r="K7" s="48"/>
      <c r="L7" s="319"/>
      <c r="M7" s="319"/>
      <c r="N7" s="319"/>
      <c r="O7" s="319"/>
    </row>
    <row r="8" spans="1:16" s="297" customFormat="1" ht="15" customHeight="1" x14ac:dyDescent="0.25">
      <c r="A8" s="147"/>
      <c r="B8" s="147"/>
      <c r="C8" s="18"/>
      <c r="D8" s="503" t="s">
        <v>167</v>
      </c>
      <c r="E8" s="503" t="s">
        <v>198</v>
      </c>
      <c r="F8" s="503" t="s">
        <v>167</v>
      </c>
      <c r="G8" s="815" t="s">
        <v>1032</v>
      </c>
      <c r="H8" s="815"/>
      <c r="I8" s="18"/>
      <c r="J8" s="48" t="s">
        <v>198</v>
      </c>
      <c r="K8" s="48">
        <f>IF(E8="ja",1,0)</f>
        <v>0</v>
      </c>
      <c r="L8" s="48">
        <f>IF(F8="ja",1,0)</f>
        <v>1</v>
      </c>
      <c r="M8" s="319"/>
      <c r="N8" s="319"/>
      <c r="O8" s="319"/>
    </row>
    <row r="9" spans="1:16" s="297" customFormat="1" ht="5.0999999999999996" customHeight="1" x14ac:dyDescent="0.25">
      <c r="A9" s="147"/>
      <c r="B9" s="147"/>
      <c r="C9" s="18"/>
      <c r="D9" s="18"/>
      <c r="E9" s="18"/>
      <c r="F9" s="18"/>
      <c r="G9" s="330"/>
      <c r="H9" s="18"/>
      <c r="I9" s="18"/>
      <c r="J9" s="48"/>
      <c r="K9" s="48"/>
      <c r="L9" s="319"/>
      <c r="M9" s="319"/>
      <c r="N9" s="319"/>
      <c r="O9" s="319"/>
    </row>
    <row r="10" spans="1:16" s="297" customFormat="1" ht="18.75" x14ac:dyDescent="0.3">
      <c r="A10" s="207" t="s">
        <v>134</v>
      </c>
      <c r="B10" s="147"/>
      <c r="C10" s="24"/>
      <c r="D10" s="62"/>
      <c r="E10" s="18"/>
      <c r="F10" s="18"/>
      <c r="G10" s="330"/>
      <c r="H10" s="25"/>
      <c r="I10" s="18"/>
      <c r="J10" s="137"/>
      <c r="K10" s="48"/>
      <c r="L10" s="319"/>
      <c r="M10" s="319"/>
      <c r="N10" s="319"/>
      <c r="O10" s="319"/>
    </row>
    <row r="11" spans="1:16" s="297" customFormat="1" ht="30" x14ac:dyDescent="0.25">
      <c r="A11" s="147"/>
      <c r="B11" s="148" t="s">
        <v>132</v>
      </c>
      <c r="C11" s="24"/>
      <c r="D11" s="50" t="s">
        <v>54</v>
      </c>
      <c r="E11" s="50" t="s">
        <v>92</v>
      </c>
      <c r="F11" s="50" t="s">
        <v>93</v>
      </c>
      <c r="G11" s="330"/>
      <c r="H11" s="403" t="s">
        <v>951</v>
      </c>
      <c r="I11" s="18"/>
      <c r="J11" s="137"/>
      <c r="K11" s="48"/>
      <c r="L11" s="319"/>
      <c r="M11" s="319"/>
      <c r="N11" s="319"/>
      <c r="O11" s="319"/>
    </row>
    <row r="12" spans="1:16" s="297" customFormat="1" ht="15.75" x14ac:dyDescent="0.25">
      <c r="A12" s="147"/>
      <c r="B12" s="148"/>
      <c r="C12" s="24" t="s">
        <v>129</v>
      </c>
      <c r="D12" s="514">
        <f>D105</f>
        <v>0.61771673209917721</v>
      </c>
      <c r="E12" s="515">
        <f>E105</f>
        <v>0.37063003925950633</v>
      </c>
      <c r="F12" s="515">
        <f>F105</f>
        <v>1.2354334641983544</v>
      </c>
      <c r="G12" s="330"/>
      <c r="H12" s="18" t="s">
        <v>862</v>
      </c>
      <c r="I12" s="18"/>
      <c r="J12" s="137"/>
      <c r="K12" s="48"/>
      <c r="L12" s="319"/>
      <c r="M12" s="319"/>
      <c r="N12" s="319"/>
      <c r="O12" s="319"/>
    </row>
    <row r="13" spans="1:16" s="297" customFormat="1" ht="15.75" x14ac:dyDescent="0.25">
      <c r="A13" s="147"/>
      <c r="B13" s="148"/>
      <c r="C13" s="24" t="s">
        <v>608</v>
      </c>
      <c r="D13" s="514">
        <f>D113</f>
        <v>0</v>
      </c>
      <c r="E13" s="515">
        <f>E113</f>
        <v>0</v>
      </c>
      <c r="F13" s="515">
        <f>F113</f>
        <v>0</v>
      </c>
      <c r="G13" s="330"/>
      <c r="H13" s="18" t="s">
        <v>862</v>
      </c>
      <c r="I13" s="18"/>
      <c r="J13" s="137"/>
      <c r="K13" s="48"/>
      <c r="L13" s="319"/>
      <c r="M13" s="319"/>
      <c r="N13" s="319"/>
      <c r="O13" s="319"/>
    </row>
    <row r="14" spans="1:16" s="297" customFormat="1" ht="15.75" x14ac:dyDescent="0.25">
      <c r="A14" s="147"/>
      <c r="B14" s="148"/>
      <c r="C14" s="24" t="s">
        <v>607</v>
      </c>
      <c r="D14" s="514">
        <f t="shared" ref="D14:F15" si="0">D114</f>
        <v>9.2173787178170041E-2</v>
      </c>
      <c r="E14" s="515">
        <f t="shared" si="0"/>
        <v>4.6086893589085021E-2</v>
      </c>
      <c r="F14" s="515">
        <f t="shared" si="0"/>
        <v>0.13826068076725509</v>
      </c>
      <c r="G14" s="330"/>
      <c r="H14" s="18" t="s">
        <v>862</v>
      </c>
      <c r="I14" s="18"/>
      <c r="J14" s="137"/>
      <c r="K14" s="48"/>
      <c r="L14" s="319"/>
      <c r="M14" s="319"/>
      <c r="N14" s="319"/>
      <c r="O14" s="319"/>
    </row>
    <row r="15" spans="1:16" s="297" customFormat="1" ht="15.75" x14ac:dyDescent="0.25">
      <c r="A15" s="147"/>
      <c r="B15" s="148"/>
      <c r="C15" s="24" t="s">
        <v>628</v>
      </c>
      <c r="D15" s="514">
        <f t="shared" si="0"/>
        <v>0</v>
      </c>
      <c r="E15" s="515">
        <f t="shared" si="0"/>
        <v>0</v>
      </c>
      <c r="F15" s="515">
        <f t="shared" si="0"/>
        <v>0</v>
      </c>
      <c r="G15" s="330"/>
      <c r="H15" s="18" t="s">
        <v>862</v>
      </c>
      <c r="I15" s="18"/>
      <c r="J15" s="137"/>
      <c r="K15" s="48"/>
      <c r="L15" s="319"/>
      <c r="M15" s="319"/>
      <c r="N15" s="319"/>
      <c r="O15" s="319"/>
    </row>
    <row r="16" spans="1:16" s="297" customFormat="1" ht="15.75" x14ac:dyDescent="0.25">
      <c r="A16" s="147"/>
      <c r="B16" s="148"/>
      <c r="C16" s="24" t="s">
        <v>609</v>
      </c>
      <c r="D16" s="514">
        <f>D116</f>
        <v>9.2173787178170041E-2</v>
      </c>
      <c r="E16" s="515">
        <f>E116</f>
        <v>4.6086893589085021E-2</v>
      </c>
      <c r="F16" s="515">
        <f>F116</f>
        <v>0.13826068076725509</v>
      </c>
      <c r="G16" s="330"/>
      <c r="H16" s="18" t="s">
        <v>862</v>
      </c>
      <c r="I16" s="18"/>
      <c r="J16" s="137"/>
      <c r="K16" s="48"/>
      <c r="L16" s="319"/>
      <c r="M16" s="319"/>
      <c r="N16" s="319"/>
      <c r="O16" s="319"/>
    </row>
    <row r="17" spans="1:15" s="297" customFormat="1" ht="3.95" customHeight="1" x14ac:dyDescent="0.25">
      <c r="A17" s="147"/>
      <c r="B17" s="147"/>
      <c r="C17" s="24"/>
      <c r="D17" s="574"/>
      <c r="E17" s="591"/>
      <c r="F17" s="573"/>
      <c r="G17" s="330"/>
      <c r="H17" s="18"/>
      <c r="I17" s="18"/>
      <c r="J17" s="137"/>
      <c r="K17" s="48"/>
      <c r="L17" s="319"/>
      <c r="M17" s="319"/>
      <c r="N17" s="319"/>
      <c r="O17" s="319"/>
    </row>
    <row r="18" spans="1:15" s="297" customFormat="1" ht="15.75" x14ac:dyDescent="0.25">
      <c r="A18" s="147"/>
      <c r="B18" s="145" t="s">
        <v>131</v>
      </c>
      <c r="C18" s="24"/>
      <c r="D18" s="514">
        <f>D123</f>
        <v>0.97798837208517198</v>
      </c>
      <c r="E18" s="591"/>
      <c r="F18" s="573"/>
      <c r="G18" s="330"/>
      <c r="H18" s="18" t="s">
        <v>863</v>
      </c>
      <c r="I18" s="18"/>
      <c r="J18" s="137"/>
      <c r="K18" s="48"/>
      <c r="L18" s="319"/>
      <c r="M18" s="319"/>
      <c r="N18" s="319"/>
      <c r="O18" s="319"/>
    </row>
    <row r="19" spans="1:15" s="297" customFormat="1" x14ac:dyDescent="0.25">
      <c r="A19" s="147"/>
      <c r="B19" s="147" t="s">
        <v>133</v>
      </c>
      <c r="C19" s="24"/>
      <c r="D19" s="574"/>
      <c r="E19" s="591"/>
      <c r="F19" s="573"/>
      <c r="G19" s="330"/>
      <c r="H19" s="18"/>
      <c r="I19" s="18"/>
      <c r="J19" s="137"/>
      <c r="K19" s="48"/>
      <c r="L19" s="319"/>
      <c r="M19" s="319"/>
      <c r="N19" s="319"/>
      <c r="O19" s="319"/>
    </row>
    <row r="20" spans="1:15" s="297" customFormat="1" x14ac:dyDescent="0.25">
      <c r="A20" s="147"/>
      <c r="B20" s="147"/>
      <c r="C20" s="24" t="str">
        <f t="shared" ref="C20:D22" si="1">C125</f>
        <v>Nettonytte</v>
      </c>
      <c r="D20" s="514">
        <f t="shared" si="1"/>
        <v>-0.26809785280782472</v>
      </c>
      <c r="E20" s="515">
        <f t="shared" ref="E20:F22" si="2">E125</f>
        <v>-0.56127143923658063</v>
      </c>
      <c r="F20" s="515">
        <f t="shared" si="2"/>
        <v>0.39570577288043751</v>
      </c>
      <c r="G20" s="330"/>
      <c r="H20" s="18" t="s">
        <v>862</v>
      </c>
      <c r="I20" s="18"/>
      <c r="J20" s="137"/>
      <c r="K20" s="48"/>
      <c r="L20" s="319"/>
      <c r="M20" s="319"/>
      <c r="N20" s="319"/>
      <c r="O20" s="319"/>
    </row>
    <row r="21" spans="1:15" s="297" customFormat="1" x14ac:dyDescent="0.25">
      <c r="A21" s="147"/>
      <c r="B21" s="147"/>
      <c r="C21" s="24" t="str">
        <f t="shared" si="1"/>
        <v>Nettonytte per budsjettkrone</v>
      </c>
      <c r="D21" s="514">
        <f t="shared" si="1"/>
        <v>-0.2741319431397865</v>
      </c>
      <c r="E21" s="515">
        <f t="shared" si="2"/>
        <v>-0.57390400055564272</v>
      </c>
      <c r="F21" s="515">
        <f t="shared" si="2"/>
        <v>0.40461194036157305</v>
      </c>
      <c r="G21" s="330"/>
      <c r="H21" s="18" t="s">
        <v>862</v>
      </c>
      <c r="I21" s="18"/>
      <c r="J21" s="137"/>
      <c r="K21" s="48"/>
      <c r="L21" s="319"/>
      <c r="M21" s="319"/>
      <c r="N21" s="319"/>
      <c r="O21" s="319"/>
    </row>
    <row r="22" spans="1:15" s="297" customFormat="1" x14ac:dyDescent="0.25">
      <c r="A22" s="147"/>
      <c r="B22" s="147"/>
      <c r="C22" s="24" t="str">
        <f t="shared" si="1"/>
        <v>Nyttekostnadsforhold</v>
      </c>
      <c r="D22" s="514">
        <f t="shared" si="1"/>
        <v>0.7258680568602135</v>
      </c>
      <c r="E22" s="515">
        <f t="shared" si="2"/>
        <v>0.42609599944435733</v>
      </c>
      <c r="F22" s="515">
        <f t="shared" si="2"/>
        <v>1.4046119403615731</v>
      </c>
      <c r="G22" s="330"/>
      <c r="H22" s="18"/>
      <c r="I22" s="18"/>
      <c r="J22" s="137"/>
    </row>
    <row r="23" spans="1:15" s="297" customFormat="1" ht="5.0999999999999996" customHeight="1" x14ac:dyDescent="0.25">
      <c r="A23" s="147"/>
      <c r="B23" s="147"/>
      <c r="C23" s="18"/>
      <c r="D23" s="18"/>
      <c r="E23" s="18"/>
      <c r="F23" s="18"/>
      <c r="G23" s="330"/>
      <c r="H23" s="18"/>
      <c r="I23" s="18"/>
      <c r="J23" s="48"/>
    </row>
    <row r="24" spans="1:15" s="297" customFormat="1" x14ac:dyDescent="0.25">
      <c r="A24" s="147"/>
      <c r="B24" s="147"/>
      <c r="C24" s="18"/>
      <c r="D24" s="18"/>
      <c r="E24" s="18"/>
      <c r="F24" s="18"/>
      <c r="G24" s="330"/>
      <c r="H24" s="25"/>
      <c r="I24" s="18"/>
      <c r="J24" s="137"/>
    </row>
    <row r="25" spans="1:15" s="297" customFormat="1" ht="18.75" x14ac:dyDescent="0.25">
      <c r="A25" s="144" t="s">
        <v>0</v>
      </c>
      <c r="B25" s="147"/>
      <c r="C25" s="18"/>
      <c r="D25" s="296"/>
      <c r="E25" s="296"/>
      <c r="F25" s="296"/>
      <c r="G25" s="332"/>
      <c r="H25" s="21"/>
      <c r="I25" s="296"/>
      <c r="J25" s="48"/>
    </row>
    <row r="26" spans="1:15" s="297" customFormat="1" ht="15.75" x14ac:dyDescent="0.25">
      <c r="A26" s="147"/>
      <c r="B26" s="145" t="s">
        <v>6</v>
      </c>
      <c r="C26" s="18"/>
      <c r="D26" s="296"/>
      <c r="E26" s="296"/>
      <c r="F26" s="296"/>
      <c r="G26" s="332"/>
      <c r="H26" s="21"/>
      <c r="I26" s="296"/>
      <c r="J26" s="48"/>
    </row>
    <row r="27" spans="1:15" s="297" customFormat="1" x14ac:dyDescent="0.25">
      <c r="A27" s="150">
        <v>1</v>
      </c>
      <c r="B27" s="147"/>
      <c r="C27" s="24" t="s">
        <v>406</v>
      </c>
      <c r="D27" s="504">
        <v>10</v>
      </c>
      <c r="E27" s="18" t="s">
        <v>773</v>
      </c>
      <c r="F27" s="18"/>
      <c r="G27" s="330">
        <f>A27</f>
        <v>1</v>
      </c>
      <c r="H27" s="18" t="s">
        <v>409</v>
      </c>
      <c r="I27" s="296"/>
      <c r="J27" s="218"/>
    </row>
    <row r="28" spans="1:15" s="297" customFormat="1" x14ac:dyDescent="0.25">
      <c r="A28" s="150">
        <f>MAXA(A$27:A27)+1</f>
        <v>2</v>
      </c>
      <c r="B28" s="147"/>
      <c r="C28" s="24" t="s">
        <v>8</v>
      </c>
      <c r="D28" s="516">
        <v>4</v>
      </c>
      <c r="E28" s="18" t="s">
        <v>61</v>
      </c>
      <c r="F28" s="18"/>
      <c r="G28" s="330">
        <f>A28</f>
        <v>2</v>
      </c>
      <c r="H28" s="18" t="s">
        <v>831</v>
      </c>
      <c r="I28" s="296"/>
      <c r="J28" s="48"/>
      <c r="K28" s="48"/>
      <c r="L28" s="319"/>
      <c r="M28" s="319"/>
      <c r="N28" s="319"/>
      <c r="O28" s="319"/>
    </row>
    <row r="29" spans="1:15" s="297" customFormat="1" x14ac:dyDescent="0.25">
      <c r="A29" s="150">
        <f>MAXA(A$27:A28)+1</f>
        <v>3</v>
      </c>
      <c r="B29" s="147"/>
      <c r="C29" s="24" t="s">
        <v>55</v>
      </c>
      <c r="D29" s="517">
        <f>'Data-beregninger'!B7</f>
        <v>20</v>
      </c>
      <c r="E29" s="18" t="s">
        <v>61</v>
      </c>
      <c r="F29" s="18"/>
      <c r="G29" s="330">
        <f>A29</f>
        <v>3</v>
      </c>
      <c r="H29" s="18" t="s">
        <v>832</v>
      </c>
      <c r="I29" s="296"/>
      <c r="J29" s="48"/>
      <c r="K29" s="48"/>
      <c r="L29" s="319"/>
      <c r="M29" s="319"/>
      <c r="N29" s="319"/>
      <c r="O29" s="319"/>
    </row>
    <row r="30" spans="1:15" s="297" customFormat="1" x14ac:dyDescent="0.25">
      <c r="A30" s="150">
        <f>MAXA(A$27:A29)+1</f>
        <v>4</v>
      </c>
      <c r="B30" s="147"/>
      <c r="C30" s="24" t="s">
        <v>58</v>
      </c>
      <c r="D30" s="518">
        <f>IF(D27&lt;=1,D27,(1/(D28/100))*(1-1/((100+D28)/100)^D27))</f>
        <v>8.1108957793550367</v>
      </c>
      <c r="E30" s="18"/>
      <c r="F30" s="18"/>
      <c r="G30" s="330">
        <f>A30</f>
        <v>4</v>
      </c>
      <c r="H30" s="18" t="s">
        <v>116</v>
      </c>
      <c r="I30" s="296"/>
      <c r="J30" s="48">
        <f>VLOOKUP(D$27,C$190:M$214,9)</f>
        <v>20.506292913338182</v>
      </c>
      <c r="K30" s="48" t="s">
        <v>605</v>
      </c>
      <c r="L30" s="319"/>
      <c r="M30" s="319"/>
      <c r="N30" s="319"/>
      <c r="O30" s="319"/>
    </row>
    <row r="31" spans="1:15" s="498" customFormat="1" x14ac:dyDescent="0.25">
      <c r="A31" s="150">
        <f>MAXA(A$27:A30)+1</f>
        <v>5</v>
      </c>
      <c r="B31" s="147"/>
      <c r="C31" s="24" t="s">
        <v>998</v>
      </c>
      <c r="D31" s="601">
        <f>'Data-beregninger'!$C$3</f>
        <v>2014</v>
      </c>
      <c r="E31" s="18"/>
      <c r="F31" s="18"/>
      <c r="G31" s="330">
        <f>A31</f>
        <v>5</v>
      </c>
      <c r="H31" s="18" t="s">
        <v>1000</v>
      </c>
      <c r="I31" s="497"/>
      <c r="J31" s="48"/>
      <c r="K31" s="48"/>
      <c r="L31" s="319"/>
      <c r="M31" s="319"/>
      <c r="N31" s="319"/>
      <c r="O31" s="319"/>
    </row>
    <row r="32" spans="1:15" s="297" customFormat="1" ht="15.75" x14ac:dyDescent="0.25">
      <c r="A32" s="151"/>
      <c r="B32" s="145" t="s">
        <v>177</v>
      </c>
      <c r="C32" s="24"/>
      <c r="D32" s="236" t="s">
        <v>527</v>
      </c>
      <c r="E32" s="237" t="s">
        <v>172</v>
      </c>
      <c r="F32" s="237"/>
      <c r="G32" s="330"/>
      <c r="H32" s="293"/>
      <c r="I32" s="18"/>
      <c r="J32" s="41">
        <f>VLOOKUP(D$27,D$190:M$214,9)</f>
        <v>9.4861195663521585</v>
      </c>
      <c r="K32" s="48" t="s">
        <v>604</v>
      </c>
      <c r="L32" s="319"/>
      <c r="M32" s="319"/>
      <c r="N32" s="319"/>
      <c r="O32" s="319"/>
    </row>
    <row r="33" spans="1:16" s="297" customFormat="1" ht="15.75" x14ac:dyDescent="0.25">
      <c r="A33" s="150">
        <f>MAXA(A$27:A32)+1</f>
        <v>6</v>
      </c>
      <c r="B33" s="145"/>
      <c r="C33" s="24" t="s">
        <v>176</v>
      </c>
      <c r="D33" s="504">
        <v>2</v>
      </c>
      <c r="E33" s="505">
        <v>1</v>
      </c>
      <c r="F33" s="237"/>
      <c r="G33" s="330">
        <f>A33</f>
        <v>6</v>
      </c>
      <c r="H33" s="294" t="s">
        <v>414</v>
      </c>
      <c r="I33" s="296"/>
      <c r="J33" s="48">
        <f>VLOOKUP(D$27,D$190:M$214,10)</f>
        <v>13.791056935436721</v>
      </c>
      <c r="K33" s="48" t="s">
        <v>610</v>
      </c>
      <c r="L33" s="319"/>
      <c r="M33" s="319"/>
      <c r="N33" s="319"/>
      <c r="O33" s="319"/>
    </row>
    <row r="34" spans="1:16" s="297" customFormat="1" ht="15.75" x14ac:dyDescent="0.25">
      <c r="A34" s="150">
        <f>MAXA(A$27:A33)+1</f>
        <v>7</v>
      </c>
      <c r="B34" s="145"/>
      <c r="C34" s="24" t="s">
        <v>174</v>
      </c>
      <c r="D34" s="506">
        <v>200000</v>
      </c>
      <c r="E34" s="507">
        <v>50000</v>
      </c>
      <c r="F34" s="18" t="s">
        <v>128</v>
      </c>
      <c r="G34" s="330">
        <f>A34</f>
        <v>7</v>
      </c>
      <c r="H34" s="294" t="s">
        <v>405</v>
      </c>
      <c r="I34" s="296"/>
      <c r="J34" s="48"/>
      <c r="K34" s="48"/>
      <c r="L34" s="319"/>
      <c r="M34" s="319"/>
      <c r="N34" s="319"/>
      <c r="O34" s="319"/>
    </row>
    <row r="35" spans="1:16" s="297" customFormat="1" ht="15.75" x14ac:dyDescent="0.25">
      <c r="A35" s="150">
        <f>MAXA(A$27:A34)+1</f>
        <v>8</v>
      </c>
      <c r="B35" s="145"/>
      <c r="C35" s="24" t="s">
        <v>175</v>
      </c>
      <c r="D35" s="507">
        <v>20000</v>
      </c>
      <c r="E35" s="507">
        <v>5000</v>
      </c>
      <c r="F35" s="18" t="s">
        <v>128</v>
      </c>
      <c r="G35" s="330">
        <f>A35</f>
        <v>8</v>
      </c>
      <c r="H35" s="294" t="s">
        <v>404</v>
      </c>
      <c r="I35" s="296"/>
      <c r="J35" s="48"/>
      <c r="K35" s="48"/>
      <c r="L35" s="319"/>
      <c r="M35" s="319"/>
      <c r="N35" s="319"/>
      <c r="O35" s="319"/>
    </row>
    <row r="36" spans="1:16" s="4" customFormat="1" ht="15.75" x14ac:dyDescent="0.25">
      <c r="A36" s="150"/>
      <c r="B36" s="145" t="s">
        <v>530</v>
      </c>
      <c r="C36" s="24"/>
      <c r="D36" s="243"/>
      <c r="E36" s="243"/>
      <c r="F36" s="18"/>
      <c r="G36" s="330"/>
      <c r="H36" s="495" t="s">
        <v>993</v>
      </c>
      <c r="I36" s="18"/>
      <c r="J36" s="321"/>
      <c r="K36" s="322" t="s">
        <v>544</v>
      </c>
      <c r="L36" s="321" t="s">
        <v>542</v>
      </c>
      <c r="M36" s="322"/>
      <c r="N36" s="322"/>
      <c r="O36" s="322"/>
    </row>
    <row r="37" spans="1:16" s="4" customFormat="1" ht="15.75" hidden="1" x14ac:dyDescent="0.25">
      <c r="A37" s="150"/>
      <c r="B37" s="145"/>
      <c r="C37" s="317" t="s">
        <v>541</v>
      </c>
      <c r="D37" s="317">
        <v>1</v>
      </c>
      <c r="E37" s="243"/>
      <c r="G37" s="330"/>
      <c r="H37" s="294"/>
      <c r="I37" s="18"/>
      <c r="J37" s="322" t="s">
        <v>531</v>
      </c>
      <c r="K37" s="322">
        <v>1</v>
      </c>
      <c r="L37" s="323">
        <v>-9.3460000000000001</v>
      </c>
      <c r="M37" s="322">
        <f>K37*L37</f>
        <v>-9.3460000000000001</v>
      </c>
      <c r="N37" s="322"/>
      <c r="O37" s="322"/>
    </row>
    <row r="38" spans="1:16" s="4" customFormat="1" ht="15.75" x14ac:dyDescent="0.25">
      <c r="A38" s="150">
        <f>MAXA(A$27:A37)+1</f>
        <v>9</v>
      </c>
      <c r="B38" s="145"/>
      <c r="C38" s="24" t="s">
        <v>641</v>
      </c>
      <c r="D38" s="504">
        <v>500</v>
      </c>
      <c r="E38" s="243" t="s">
        <v>545</v>
      </c>
      <c r="G38" s="330">
        <f>A38</f>
        <v>9</v>
      </c>
      <c r="H38" s="361" t="s">
        <v>785</v>
      </c>
      <c r="I38" s="18"/>
      <c r="J38" s="322" t="s">
        <v>532</v>
      </c>
      <c r="K38" s="323">
        <f>LN(D41)</f>
        <v>6.2146080984221914</v>
      </c>
      <c r="L38" s="323">
        <v>0.76100000000000001</v>
      </c>
      <c r="M38" s="322">
        <f>K38*L38</f>
        <v>4.7293167628992876</v>
      </c>
      <c r="N38" s="322"/>
      <c r="O38" s="322"/>
    </row>
    <row r="39" spans="1:16" s="4" customFormat="1" ht="15.75" x14ac:dyDescent="0.25">
      <c r="A39" s="150">
        <f>MAXA(A$27:A38)+1</f>
        <v>10</v>
      </c>
      <c r="B39" s="145"/>
      <c r="C39" s="24" t="s">
        <v>618</v>
      </c>
      <c r="D39" s="504">
        <v>0</v>
      </c>
      <c r="E39" s="243" t="s">
        <v>619</v>
      </c>
      <c r="G39" s="53">
        <f>A39</f>
        <v>10</v>
      </c>
      <c r="H39" s="812" t="s">
        <v>786</v>
      </c>
      <c r="I39" s="18"/>
      <c r="J39" s="322"/>
      <c r="K39" s="323"/>
      <c r="L39" s="323"/>
      <c r="M39" s="322"/>
      <c r="N39" s="322"/>
      <c r="O39" s="322"/>
    </row>
    <row r="40" spans="1:16" s="4" customFormat="1" ht="15.75" x14ac:dyDescent="0.25">
      <c r="A40" s="150"/>
      <c r="B40" s="145"/>
      <c r="C40" s="24"/>
      <c r="D40" s="243"/>
      <c r="E40" s="243"/>
      <c r="G40" s="53"/>
      <c r="H40" s="812"/>
      <c r="I40" s="18"/>
      <c r="J40" s="322"/>
      <c r="K40" s="323"/>
      <c r="L40" s="323"/>
      <c r="M40" s="322"/>
      <c r="N40" s="322"/>
      <c r="O40" s="322"/>
    </row>
    <row r="41" spans="1:16" s="48" customFormat="1" hidden="1" x14ac:dyDescent="0.25">
      <c r="A41" s="261" t="s">
        <v>56</v>
      </c>
      <c r="B41" s="31"/>
      <c r="C41" s="33"/>
      <c r="D41" s="355">
        <f>D39+D38</f>
        <v>500</v>
      </c>
      <c r="E41" s="19" t="s">
        <v>620</v>
      </c>
      <c r="F41" s="137"/>
      <c r="G41" s="333"/>
      <c r="H41" s="19"/>
      <c r="I41" s="19"/>
      <c r="L41" s="319"/>
      <c r="M41" s="319"/>
      <c r="N41" s="319"/>
      <c r="O41" s="319"/>
      <c r="P41" s="319"/>
    </row>
    <row r="42" spans="1:16" s="4" customFormat="1" ht="15.75" x14ac:dyDescent="0.25">
      <c r="A42" s="150">
        <f>MAXA(A$27:A41)+1</f>
        <v>11</v>
      </c>
      <c r="B42" s="145"/>
      <c r="C42" s="24" t="s">
        <v>3</v>
      </c>
      <c r="D42" s="506">
        <v>5000</v>
      </c>
      <c r="E42" s="243" t="s">
        <v>4</v>
      </c>
      <c r="G42" s="330">
        <f>A42</f>
        <v>11</v>
      </c>
      <c r="H42" s="294" t="s">
        <v>551</v>
      </c>
      <c r="I42" s="18"/>
      <c r="J42" s="322" t="s">
        <v>533</v>
      </c>
      <c r="K42" s="323">
        <f>LN(D42)</f>
        <v>8.5171931914162382</v>
      </c>
      <c r="L42" s="323">
        <v>0.53300000000000003</v>
      </c>
      <c r="M42" s="322">
        <f t="shared" ref="M42:M49" si="3">K42*L42</f>
        <v>4.5396639710248552</v>
      </c>
      <c r="N42" s="322"/>
      <c r="O42" s="322"/>
    </row>
    <row r="43" spans="1:16" s="4" customFormat="1" ht="15.75" hidden="1" x14ac:dyDescent="0.25">
      <c r="A43" s="150"/>
      <c r="B43" s="145"/>
      <c r="C43" s="317" t="s">
        <v>534</v>
      </c>
      <c r="D43" s="583"/>
      <c r="E43" s="243"/>
      <c r="G43" s="330"/>
      <c r="H43" s="294"/>
      <c r="I43" s="18"/>
      <c r="J43" s="322" t="s">
        <v>534</v>
      </c>
      <c r="K43" s="324">
        <f>D42*D41</f>
        <v>2500000</v>
      </c>
      <c r="L43" s="323">
        <v>1.983E-8</v>
      </c>
      <c r="M43" s="322">
        <f t="shared" si="3"/>
        <v>4.9575000000000001E-2</v>
      </c>
      <c r="N43" s="322"/>
      <c r="O43" s="322"/>
    </row>
    <row r="44" spans="1:16" s="4" customFormat="1" ht="15.75" x14ac:dyDescent="0.25">
      <c r="A44" s="150">
        <f>MAXA(A$27:A43)+1</f>
        <v>12</v>
      </c>
      <c r="B44" s="145"/>
      <c r="C44" s="24" t="s">
        <v>778</v>
      </c>
      <c r="D44" s="584" t="s">
        <v>690</v>
      </c>
      <c r="E44" s="243"/>
      <c r="G44" s="330">
        <f>A44</f>
        <v>12</v>
      </c>
      <c r="H44" s="361" t="s">
        <v>779</v>
      </c>
      <c r="I44" s="18"/>
      <c r="J44" s="322" t="s">
        <v>535</v>
      </c>
      <c r="K44" s="324">
        <f>O44</f>
        <v>2</v>
      </c>
      <c r="L44" s="323">
        <v>-8.0000000000000002E-3</v>
      </c>
      <c r="M44" s="322">
        <f t="shared" si="3"/>
        <v>-1.6E-2</v>
      </c>
      <c r="N44" s="322"/>
      <c r="O44" s="26">
        <f>IF(D44="Strekning",2,4)</f>
        <v>2</v>
      </c>
    </row>
    <row r="45" spans="1:16" s="4" customFormat="1" ht="15.75" x14ac:dyDescent="0.25">
      <c r="A45" s="150">
        <f>MAXA(A$27:A44)+1</f>
        <v>13</v>
      </c>
      <c r="B45" s="145"/>
      <c r="C45" s="24" t="s">
        <v>549</v>
      </c>
      <c r="D45" s="504">
        <v>2</v>
      </c>
      <c r="E45" s="243" t="s">
        <v>550</v>
      </c>
      <c r="G45" s="330">
        <f>A45</f>
        <v>13</v>
      </c>
      <c r="H45" s="294" t="s">
        <v>575</v>
      </c>
      <c r="I45" s="18"/>
      <c r="J45" s="322" t="s">
        <v>548</v>
      </c>
      <c r="K45" s="325">
        <f>D45</f>
        <v>2</v>
      </c>
      <c r="L45" s="323">
        <v>1.2999999999999999E-2</v>
      </c>
      <c r="M45" s="322">
        <f t="shared" si="3"/>
        <v>2.5999999999999999E-2</v>
      </c>
      <c r="N45" s="322"/>
      <c r="O45" s="322"/>
    </row>
    <row r="46" spans="1:16" s="4" customFormat="1" ht="15.75" hidden="1" x14ac:dyDescent="0.25">
      <c r="A46" s="150"/>
      <c r="B46" s="145"/>
      <c r="C46" s="317" t="s">
        <v>536</v>
      </c>
      <c r="D46" s="585">
        <v>0</v>
      </c>
      <c r="G46" s="330"/>
      <c r="H46" s="294"/>
      <c r="I46" s="18"/>
      <c r="J46" s="322" t="s">
        <v>536</v>
      </c>
      <c r="K46" s="325">
        <v>0</v>
      </c>
      <c r="L46" s="323">
        <v>-6.2E-2</v>
      </c>
      <c r="M46" s="322">
        <f t="shared" si="3"/>
        <v>0</v>
      </c>
      <c r="N46" s="322"/>
      <c r="O46" s="322"/>
    </row>
    <row r="47" spans="1:16" s="4" customFormat="1" ht="15.75" x14ac:dyDescent="0.25">
      <c r="A47" s="150">
        <f>MAXA(A$27:A46)+1</f>
        <v>14</v>
      </c>
      <c r="B47" s="145"/>
      <c r="C47" s="24" t="s">
        <v>540</v>
      </c>
      <c r="D47" s="505">
        <v>2</v>
      </c>
      <c r="E47" s="243" t="s">
        <v>61</v>
      </c>
      <c r="G47" s="330">
        <f t="shared" ref="G47:G53" si="4">A47</f>
        <v>14</v>
      </c>
      <c r="H47" s="294" t="s">
        <v>574</v>
      </c>
      <c r="I47" s="18"/>
      <c r="J47" s="322" t="s">
        <v>537</v>
      </c>
      <c r="K47" s="323">
        <f>D47/100</f>
        <v>0.02</v>
      </c>
      <c r="L47" s="323">
        <v>0.67800000000000005</v>
      </c>
      <c r="M47" s="322">
        <f t="shared" si="3"/>
        <v>1.3560000000000001E-2</v>
      </c>
      <c r="N47" s="322">
        <v>0</v>
      </c>
      <c r="O47" s="322"/>
    </row>
    <row r="48" spans="1:16" s="4" customFormat="1" ht="15.75" x14ac:dyDescent="0.25">
      <c r="A48" s="150">
        <f>MAXA(A$27:A47)+1</f>
        <v>15</v>
      </c>
      <c r="B48" s="145"/>
      <c r="C48" s="24" t="s">
        <v>313</v>
      </c>
      <c r="D48" s="505">
        <v>55</v>
      </c>
      <c r="E48" s="243" t="s">
        <v>543</v>
      </c>
      <c r="G48" s="330">
        <f t="shared" si="4"/>
        <v>15</v>
      </c>
      <c r="H48" s="294" t="s">
        <v>576</v>
      </c>
      <c r="I48" s="18"/>
      <c r="J48" s="322" t="s">
        <v>538</v>
      </c>
      <c r="K48" s="323">
        <f>D48</f>
        <v>55</v>
      </c>
      <c r="L48" s="323">
        <v>2.1000000000000001E-2</v>
      </c>
      <c r="M48" s="322">
        <f t="shared" si="3"/>
        <v>1.155</v>
      </c>
      <c r="N48" s="322">
        <v>1</v>
      </c>
      <c r="O48" s="322"/>
    </row>
    <row r="49" spans="1:16" s="48" customFormat="1" ht="15.75" x14ac:dyDescent="0.25">
      <c r="A49" s="150">
        <f>MAXA(A$27:A48)+1</f>
        <v>16</v>
      </c>
      <c r="B49" s="145"/>
      <c r="C49" s="24" t="s">
        <v>547</v>
      </c>
      <c r="D49" s="505">
        <v>1</v>
      </c>
      <c r="E49" s="243" t="s">
        <v>546</v>
      </c>
      <c r="F49" s="18"/>
      <c r="G49" s="330">
        <f t="shared" si="4"/>
        <v>16</v>
      </c>
      <c r="H49" s="294" t="s">
        <v>577</v>
      </c>
      <c r="I49" s="296"/>
      <c r="J49" s="322" t="s">
        <v>539</v>
      </c>
      <c r="K49" s="323">
        <f>D49</f>
        <v>1</v>
      </c>
      <c r="L49" s="323">
        <v>-0.27200000000000002</v>
      </c>
      <c r="M49" s="322">
        <f t="shared" si="3"/>
        <v>-0.27200000000000002</v>
      </c>
      <c r="N49" s="322"/>
      <c r="O49" s="322"/>
      <c r="P49" s="297"/>
    </row>
    <row r="50" spans="1:16" s="48" customFormat="1" ht="15.75" x14ac:dyDescent="0.25">
      <c r="A50" s="150">
        <f>MAXA(A$27:A49)+1</f>
        <v>17</v>
      </c>
      <c r="B50" s="145"/>
      <c r="C50" s="24" t="s">
        <v>559</v>
      </c>
      <c r="D50" s="586">
        <v>20</v>
      </c>
      <c r="E50" s="18" t="s">
        <v>61</v>
      </c>
      <c r="F50" s="18"/>
      <c r="G50" s="330">
        <f t="shared" si="4"/>
        <v>17</v>
      </c>
      <c r="H50" s="294" t="s">
        <v>560</v>
      </c>
      <c r="I50" s="296"/>
      <c r="J50" s="322"/>
      <c r="K50" s="323"/>
      <c r="L50" s="323"/>
      <c r="M50" s="322"/>
      <c r="N50" s="322"/>
      <c r="O50" s="322"/>
      <c r="P50" s="297"/>
    </row>
    <row r="51" spans="1:16" s="48" customFormat="1" ht="15.75" x14ac:dyDescent="0.25">
      <c r="A51" s="150">
        <f>MAXA(A$27:A50)+1</f>
        <v>18</v>
      </c>
      <c r="B51" s="145"/>
      <c r="C51" s="24" t="s">
        <v>120</v>
      </c>
      <c r="D51" s="586">
        <v>5</v>
      </c>
      <c r="E51" s="18" t="s">
        <v>61</v>
      </c>
      <c r="F51" s="18"/>
      <c r="G51" s="330">
        <f t="shared" si="4"/>
        <v>18</v>
      </c>
      <c r="H51" s="294" t="s">
        <v>561</v>
      </c>
      <c r="I51" s="296"/>
      <c r="J51" s="322" t="s">
        <v>690</v>
      </c>
      <c r="K51" s="323"/>
      <c r="L51" s="323"/>
      <c r="M51" s="322"/>
      <c r="N51" s="322"/>
      <c r="O51" s="322"/>
      <c r="P51" s="297"/>
    </row>
    <row r="52" spans="1:16" s="48" customFormat="1" ht="15.75" x14ac:dyDescent="0.25">
      <c r="A52" s="150">
        <f>MAXA(A$27:A51)+1</f>
        <v>19</v>
      </c>
      <c r="B52" s="145"/>
      <c r="C52" s="24" t="s">
        <v>601</v>
      </c>
      <c r="D52" s="586">
        <v>3</v>
      </c>
      <c r="E52" s="18" t="s">
        <v>61</v>
      </c>
      <c r="F52" s="29"/>
      <c r="G52" s="330">
        <f t="shared" si="4"/>
        <v>19</v>
      </c>
      <c r="H52" s="18" t="s">
        <v>614</v>
      </c>
      <c r="I52" s="296"/>
      <c r="J52" s="322" t="s">
        <v>777</v>
      </c>
      <c r="K52" s="323"/>
      <c r="L52" s="323"/>
      <c r="M52" s="322"/>
      <c r="N52" s="322"/>
      <c r="O52" s="322"/>
      <c r="P52" s="297"/>
    </row>
    <row r="53" spans="1:16" s="48" customFormat="1" ht="15.75" x14ac:dyDescent="0.25">
      <c r="A53" s="150">
        <f>MAXA(A$27:A52)+1</f>
        <v>20</v>
      </c>
      <c r="B53" s="145"/>
      <c r="C53" s="24" t="s">
        <v>875</v>
      </c>
      <c r="D53" s="586">
        <v>10</v>
      </c>
      <c r="E53" s="18" t="s">
        <v>61</v>
      </c>
      <c r="F53" s="29"/>
      <c r="G53" s="330">
        <f t="shared" si="4"/>
        <v>20</v>
      </c>
      <c r="H53" s="18" t="s">
        <v>994</v>
      </c>
      <c r="I53" s="296"/>
      <c r="J53" s="322"/>
      <c r="K53" s="323"/>
      <c r="L53" s="323"/>
      <c r="M53" s="322"/>
      <c r="N53" s="322"/>
      <c r="O53" s="322"/>
      <c r="P53" s="297"/>
    </row>
    <row r="54" spans="1:16" s="48" customFormat="1" ht="15.75" x14ac:dyDescent="0.25">
      <c r="A54" s="151"/>
      <c r="B54" s="145" t="s">
        <v>516</v>
      </c>
      <c r="C54" s="24"/>
      <c r="D54" s="296"/>
      <c r="E54" s="18"/>
      <c r="F54" s="18"/>
      <c r="G54" s="330"/>
      <c r="H54" s="318"/>
      <c r="I54" s="296"/>
      <c r="L54" s="319"/>
      <c r="M54" s="319"/>
      <c r="N54" s="319"/>
      <c r="O54" s="319"/>
      <c r="P54" s="297"/>
    </row>
    <row r="55" spans="1:16" s="48" customFormat="1" ht="15.75" x14ac:dyDescent="0.25">
      <c r="A55" s="150">
        <f>MAXA(A$27:A54)+1</f>
        <v>21</v>
      </c>
      <c r="B55" s="145"/>
      <c r="C55" s="24" t="s">
        <v>528</v>
      </c>
      <c r="D55" s="589">
        <f>'Data-beregninger'!C125</f>
        <v>1667423.1740148724</v>
      </c>
      <c r="E55" s="18" t="s">
        <v>128</v>
      </c>
      <c r="F55" s="18"/>
      <c r="G55" s="330">
        <f>A55</f>
        <v>21</v>
      </c>
      <c r="H55" s="18" t="s">
        <v>780</v>
      </c>
      <c r="I55" s="296"/>
      <c r="L55" s="319"/>
      <c r="M55" s="319"/>
      <c r="N55" s="319"/>
      <c r="O55" s="319"/>
      <c r="P55" s="297"/>
    </row>
    <row r="56" spans="1:16" s="48" customFormat="1" ht="15.75" x14ac:dyDescent="0.25">
      <c r="A56" s="150">
        <f>MAXA(A$27:A55)+1</f>
        <v>22</v>
      </c>
      <c r="B56" s="145"/>
      <c r="C56" s="24" t="s">
        <v>529</v>
      </c>
      <c r="D56" s="590">
        <f>EXP(SUM(M37:M49))*0.2*0.5</f>
        <v>0.24087687718899398</v>
      </c>
      <c r="E56" s="18" t="s">
        <v>617</v>
      </c>
      <c r="F56" s="18"/>
      <c r="G56" s="330">
        <f>A56</f>
        <v>22</v>
      </c>
      <c r="H56" s="80" t="s">
        <v>555</v>
      </c>
      <c r="I56" s="296"/>
      <c r="L56" s="319"/>
      <c r="M56" s="319"/>
      <c r="N56" s="319"/>
      <c r="O56" s="319"/>
      <c r="P56" s="297"/>
    </row>
    <row r="57" spans="1:16" s="48" customFormat="1" ht="15.75" x14ac:dyDescent="0.25">
      <c r="A57" s="150">
        <f>MAXA(A$27:A56)+1</f>
        <v>23</v>
      </c>
      <c r="B57" s="145"/>
      <c r="C57" s="24" t="s">
        <v>579</v>
      </c>
      <c r="D57" s="586">
        <v>1.5</v>
      </c>
      <c r="E57" s="18" t="s">
        <v>580</v>
      </c>
      <c r="F57" s="18"/>
      <c r="G57" s="330">
        <f>A57</f>
        <v>23</v>
      </c>
      <c r="H57" s="80" t="s">
        <v>793</v>
      </c>
      <c r="I57" s="296"/>
      <c r="L57" s="319"/>
      <c r="M57" s="319"/>
      <c r="N57" s="319"/>
      <c r="O57" s="319"/>
      <c r="P57" s="297"/>
    </row>
    <row r="58" spans="1:16" s="48" customFormat="1" ht="15.75" hidden="1" x14ac:dyDescent="0.25">
      <c r="A58" s="150"/>
      <c r="B58" s="145"/>
      <c r="C58" s="24"/>
      <c r="D58" s="335"/>
      <c r="E58" s="18"/>
      <c r="F58" s="18"/>
      <c r="G58" s="330"/>
      <c r="H58" s="80"/>
      <c r="I58" s="296"/>
      <c r="L58" s="319"/>
      <c r="M58" s="319"/>
      <c r="N58" s="319"/>
      <c r="O58" s="319"/>
      <c r="P58" s="297"/>
    </row>
    <row r="59" spans="1:16" s="48" customFormat="1" ht="15.75" x14ac:dyDescent="0.25">
      <c r="A59" s="150"/>
      <c r="B59" s="145"/>
      <c r="C59" s="24"/>
      <c r="D59" s="50" t="s">
        <v>54</v>
      </c>
      <c r="E59" s="50" t="s">
        <v>92</v>
      </c>
      <c r="F59" s="50" t="s">
        <v>93</v>
      </c>
      <c r="G59" s="330"/>
      <c r="H59" s="80"/>
      <c r="I59" s="296"/>
      <c r="L59" s="319"/>
      <c r="M59" s="319"/>
      <c r="N59" s="319"/>
      <c r="O59" s="319"/>
      <c r="P59" s="297"/>
    </row>
    <row r="60" spans="1:16" s="48" customFormat="1" ht="15.75" x14ac:dyDescent="0.25">
      <c r="A60" s="150">
        <f>MAXA(A$27:A57)+1</f>
        <v>24</v>
      </c>
      <c r="B60" s="145"/>
      <c r="C60" s="24" t="s">
        <v>458</v>
      </c>
      <c r="D60" s="507">
        <v>-5</v>
      </c>
      <c r="E60" s="557">
        <v>-3</v>
      </c>
      <c r="F60" s="557">
        <v>-10</v>
      </c>
      <c r="G60" s="330">
        <f>A60</f>
        <v>24</v>
      </c>
      <c r="H60" s="80" t="s">
        <v>794</v>
      </c>
      <c r="I60" s="296"/>
      <c r="L60" s="319"/>
      <c r="M60" s="319"/>
      <c r="N60" s="319"/>
      <c r="O60" s="319"/>
      <c r="P60" s="297"/>
    </row>
    <row r="61" spans="1:16" s="48" customFormat="1" hidden="1" x14ac:dyDescent="0.25">
      <c r="A61" s="261" t="s">
        <v>56</v>
      </c>
      <c r="B61" s="31"/>
      <c r="C61" s="33"/>
      <c r="D61" s="326">
        <f>D60/100</f>
        <v>-0.05</v>
      </c>
      <c r="E61" s="19">
        <f>IF(COUNTA($E60:$F60)=2,MAXA($E60:$F60)/100,$D60/100)</f>
        <v>-0.03</v>
      </c>
      <c r="F61" s="137">
        <f>IF(COUNTA($E60:$F60)=2,MIN($E60:$F60)/100,$D60/100)</f>
        <v>-0.1</v>
      </c>
      <c r="G61" s="333"/>
      <c r="H61" s="19"/>
      <c r="I61" s="19"/>
      <c r="L61" s="319"/>
      <c r="M61" s="319"/>
      <c r="N61" s="319"/>
      <c r="O61" s="319"/>
      <c r="P61" s="319"/>
    </row>
    <row r="62" spans="1:16" s="48" customFormat="1" ht="15.75" x14ac:dyDescent="0.25">
      <c r="A62" s="150"/>
      <c r="B62" s="145" t="s">
        <v>556</v>
      </c>
      <c r="C62" s="24"/>
      <c r="D62" s="236" t="s">
        <v>178</v>
      </c>
      <c r="E62" s="237" t="s">
        <v>179</v>
      </c>
      <c r="F62" s="29"/>
      <c r="G62" s="330"/>
      <c r="H62" s="18"/>
      <c r="I62" s="296"/>
      <c r="L62" s="319"/>
      <c r="M62" s="319"/>
      <c r="N62" s="319"/>
      <c r="O62" s="319"/>
      <c r="P62" s="297"/>
    </row>
    <row r="63" spans="1:16" s="48" customFormat="1" hidden="1" x14ac:dyDescent="0.25">
      <c r="A63" s="261" t="s">
        <v>56</v>
      </c>
      <c r="B63" s="31"/>
      <c r="C63" s="33"/>
      <c r="D63" s="326">
        <f>D42/(18*60*60)</f>
        <v>7.716049382716049E-2</v>
      </c>
      <c r="F63" s="260"/>
      <c r="G63" s="333"/>
      <c r="H63" s="19" t="s">
        <v>562</v>
      </c>
      <c r="I63" s="19"/>
      <c r="L63" s="319"/>
      <c r="M63" s="319"/>
      <c r="N63" s="319"/>
      <c r="O63" s="319"/>
      <c r="P63" s="319"/>
    </row>
    <row r="64" spans="1:16" s="48" customFormat="1" hidden="1" x14ac:dyDescent="0.25">
      <c r="A64" s="261" t="s">
        <v>56</v>
      </c>
      <c r="B64" s="31"/>
      <c r="C64" s="33"/>
      <c r="D64" s="100">
        <f>D45*3/1.2</f>
        <v>5</v>
      </c>
      <c r="F64" s="260"/>
      <c r="G64" s="333"/>
      <c r="H64" s="19" t="s">
        <v>557</v>
      </c>
      <c r="I64" s="19"/>
      <c r="L64" s="319"/>
      <c r="M64" s="319"/>
      <c r="N64" s="319"/>
      <c r="O64" s="319"/>
      <c r="P64" s="319"/>
    </row>
    <row r="65" spans="1:16" s="48" customFormat="1" hidden="1" x14ac:dyDescent="0.25">
      <c r="A65" s="261" t="s">
        <v>56</v>
      </c>
      <c r="B65" s="31"/>
      <c r="C65" s="33"/>
      <c r="D65" s="159">
        <f>D41*(1-(D41*D64/(18*60*60)))</f>
        <v>480.70987654320993</v>
      </c>
      <c r="E65" s="19"/>
      <c r="F65" s="260"/>
      <c r="G65" s="333"/>
      <c r="H65" s="19" t="s">
        <v>558</v>
      </c>
      <c r="I65" s="19"/>
      <c r="L65" s="319"/>
      <c r="M65" s="319"/>
      <c r="N65" s="319"/>
      <c r="O65" s="319"/>
      <c r="P65" s="319"/>
    </row>
    <row r="66" spans="1:16" s="48" customFormat="1" hidden="1" x14ac:dyDescent="0.25">
      <c r="A66" s="261" t="s">
        <v>56</v>
      </c>
      <c r="B66" s="31"/>
      <c r="C66" s="33"/>
      <c r="D66" s="159">
        <f>100*D63*D64*D65/D42</f>
        <v>3.7091811461667437</v>
      </c>
      <c r="E66" s="19" t="s">
        <v>61</v>
      </c>
      <c r="F66" s="260"/>
      <c r="G66" s="333"/>
      <c r="H66" s="19" t="s">
        <v>567</v>
      </c>
      <c r="I66" s="19"/>
      <c r="L66" s="319"/>
      <c r="M66" s="319"/>
      <c r="N66" s="319"/>
      <c r="O66" s="319"/>
      <c r="P66" s="319"/>
    </row>
    <row r="67" spans="1:16" s="48" customFormat="1" hidden="1" x14ac:dyDescent="0.25">
      <c r="A67" s="261" t="s">
        <v>56</v>
      </c>
      <c r="B67" s="31"/>
      <c r="C67" s="33"/>
      <c r="D67" s="159">
        <f>100*(D64*D42)/(18*60*60)</f>
        <v>38.580246913580247</v>
      </c>
      <c r="E67" s="19" t="s">
        <v>61</v>
      </c>
      <c r="F67" s="260"/>
      <c r="G67" s="333"/>
      <c r="H67" s="19" t="s">
        <v>566</v>
      </c>
      <c r="I67" s="19"/>
      <c r="L67" s="319"/>
      <c r="M67" s="319"/>
      <c r="N67" s="319"/>
      <c r="O67" s="319"/>
      <c r="P67" s="319"/>
    </row>
    <row r="68" spans="1:16" s="48" customFormat="1" hidden="1" x14ac:dyDescent="0.25">
      <c r="A68" s="261" t="s">
        <v>56</v>
      </c>
      <c r="B68" s="31"/>
      <c r="C68" s="33"/>
      <c r="D68" s="159"/>
      <c r="E68" s="19"/>
      <c r="F68" s="260"/>
      <c r="G68" s="333"/>
      <c r="H68" s="19"/>
      <c r="I68" s="19"/>
      <c r="L68" s="319"/>
      <c r="M68" s="319"/>
      <c r="N68" s="319"/>
      <c r="O68" s="319"/>
      <c r="P68" s="319"/>
    </row>
    <row r="69" spans="1:16" s="48" customFormat="1" x14ac:dyDescent="0.25">
      <c r="A69" s="150">
        <f>MAXA(A$27:A68)+1</f>
        <v>25</v>
      </c>
      <c r="B69" s="147"/>
      <c r="C69" s="24" t="s">
        <v>563</v>
      </c>
      <c r="D69" s="507">
        <v>30</v>
      </c>
      <c r="E69" s="507">
        <v>70</v>
      </c>
      <c r="F69" s="328" t="s">
        <v>61</v>
      </c>
      <c r="G69" s="330">
        <f>A69</f>
        <v>25</v>
      </c>
      <c r="H69" s="813" t="s">
        <v>798</v>
      </c>
      <c r="I69" s="19"/>
      <c r="L69" s="319"/>
      <c r="M69" s="319"/>
      <c r="N69" s="319"/>
      <c r="O69" s="319"/>
      <c r="P69" s="319"/>
    </row>
    <row r="70" spans="1:16" s="139" customFormat="1" ht="15" customHeight="1" x14ac:dyDescent="0.25">
      <c r="H70" s="812"/>
      <c r="I70" s="18"/>
      <c r="L70" s="4"/>
      <c r="M70" s="4"/>
      <c r="N70" s="4"/>
      <c r="O70" s="4"/>
      <c r="P70" s="4"/>
    </row>
    <row r="71" spans="1:16" s="48" customFormat="1" hidden="1" x14ac:dyDescent="0.25">
      <c r="A71" s="261" t="s">
        <v>56</v>
      </c>
      <c r="B71" s="31"/>
      <c r="C71" s="33"/>
      <c r="D71" s="159" t="s">
        <v>782</v>
      </c>
      <c r="E71" s="336" t="s">
        <v>586</v>
      </c>
      <c r="F71" s="327" t="s">
        <v>581</v>
      </c>
      <c r="G71" s="337" t="s">
        <v>582</v>
      </c>
      <c r="H71" s="295"/>
      <c r="I71" s="19"/>
      <c r="L71" s="319"/>
      <c r="M71" s="319"/>
      <c r="N71" s="319"/>
      <c r="O71" s="319"/>
      <c r="P71" s="319"/>
    </row>
    <row r="72" spans="1:16" s="48" customFormat="1" ht="30" hidden="1" x14ac:dyDescent="0.25">
      <c r="A72" s="261" t="s">
        <v>56</v>
      </c>
      <c r="B72" s="31"/>
      <c r="C72" s="33"/>
      <c r="D72" s="159">
        <f>D69</f>
        <v>30</v>
      </c>
      <c r="E72" s="336">
        <f>E69</f>
        <v>70</v>
      </c>
      <c r="F72" s="327">
        <f>E72-(E72-D72)/2</f>
        <v>50</v>
      </c>
      <c r="G72" s="337">
        <f>IF(E72+(E72-D72)/2&lt;100,E72+(E72-D72)/2,100)</f>
        <v>90</v>
      </c>
      <c r="H72" s="295" t="str">
        <f>H69</f>
        <v>Andelen av alle kjøretøy som respekterer vikeplikten for fotgjengere i gangfelt uten og med tiltak i prosent; se Veiledende verdier.</v>
      </c>
      <c r="I72" s="19"/>
      <c r="L72" s="319"/>
      <c r="M72" s="319"/>
      <c r="N72" s="319"/>
      <c r="O72" s="319"/>
      <c r="P72" s="319"/>
    </row>
    <row r="73" spans="1:16" s="48" customFormat="1" hidden="1" x14ac:dyDescent="0.25">
      <c r="A73" s="261" t="s">
        <v>56</v>
      </c>
      <c r="B73" s="31"/>
      <c r="C73" s="33"/>
      <c r="D73" s="327">
        <f>100*($D66/100)*(D69/100)</f>
        <v>1.1127543438500231</v>
      </c>
      <c r="E73" s="336">
        <f>100*($D66/100)*(E72/100)</f>
        <v>2.5964268023167203</v>
      </c>
      <c r="F73" s="327">
        <f>100*($D66/100)*(F72/100)</f>
        <v>1.8545905730833718</v>
      </c>
      <c r="G73" s="337">
        <f>100*($D66/100)*(G72/100)</f>
        <v>3.3382630315500692</v>
      </c>
      <c r="H73" s="295" t="s">
        <v>572</v>
      </c>
      <c r="I73" s="19"/>
      <c r="L73" s="319"/>
      <c r="M73" s="319"/>
      <c r="N73" s="319"/>
      <c r="O73" s="319"/>
      <c r="P73" s="319"/>
    </row>
    <row r="74" spans="1:16" s="48" customFormat="1" hidden="1" x14ac:dyDescent="0.25">
      <c r="A74" s="261" t="s">
        <v>56</v>
      </c>
      <c r="B74" s="31"/>
      <c r="C74" s="33" t="s">
        <v>564</v>
      </c>
      <c r="D74" s="327">
        <f>100*(($D67/100)*(100-D69)/100)</f>
        <v>27.006172839506171</v>
      </c>
      <c r="E74" s="336">
        <f>100*(($D67/100)*(100-E72)/100)</f>
        <v>11.574074074074074</v>
      </c>
      <c r="F74" s="327">
        <f>100*(($D67/100)*(100-F72)/100)</f>
        <v>19.290123456790123</v>
      </c>
      <c r="G74" s="337">
        <f>100*(($D67/100)*(100-G72)/100)</f>
        <v>3.8580246913580245</v>
      </c>
      <c r="H74" s="295" t="s">
        <v>585</v>
      </c>
      <c r="I74" s="19"/>
      <c r="L74" s="319"/>
      <c r="M74" s="319"/>
      <c r="N74" s="319"/>
      <c r="O74" s="319"/>
      <c r="P74" s="319"/>
    </row>
    <row r="75" spans="1:16" s="48" customFormat="1" hidden="1" x14ac:dyDescent="0.25">
      <c r="A75" s="261" t="s">
        <v>56</v>
      </c>
      <c r="B75" s="31"/>
      <c r="C75" s="33" t="s">
        <v>569</v>
      </c>
      <c r="D75" s="327">
        <f>(D73/100)*0.5*$D$64</f>
        <v>2.7818858596250579E-2</v>
      </c>
      <c r="E75" s="329">
        <f>(E73/100)*0.5*$D$64</f>
        <v>6.4910670057918007E-2</v>
      </c>
      <c r="F75" s="327">
        <f>(F73/100)*0.5*$D$64</f>
        <v>4.6364764327084293E-2</v>
      </c>
      <c r="G75" s="337">
        <f>(G73/100)*0.5*$D$64</f>
        <v>8.3456575788751736E-2</v>
      </c>
      <c r="H75" s="19" t="s">
        <v>571</v>
      </c>
      <c r="I75" s="19"/>
      <c r="L75" s="319"/>
      <c r="M75" s="319"/>
      <c r="N75" s="319"/>
      <c r="O75" s="319"/>
      <c r="P75" s="319"/>
    </row>
    <row r="76" spans="1:16" s="48" customFormat="1" hidden="1" x14ac:dyDescent="0.25">
      <c r="A76" s="261" t="s">
        <v>56</v>
      </c>
      <c r="B76" s="31"/>
      <c r="C76" s="33" t="s">
        <v>568</v>
      </c>
      <c r="D76" s="327">
        <f>(D74/100)*0.5*$D$64</f>
        <v>0.67515432098765427</v>
      </c>
      <c r="E76" s="329">
        <f>(E74/100)*0.5*$D64</f>
        <v>0.28935185185185186</v>
      </c>
      <c r="F76" s="327">
        <f>(F74/100)*0.5*$D64</f>
        <v>0.48225308641975306</v>
      </c>
      <c r="G76" s="337">
        <f>(G74/100)*0.5*$D64</f>
        <v>9.6450617283950615E-2</v>
      </c>
      <c r="H76" s="19" t="s">
        <v>570</v>
      </c>
      <c r="I76" s="19"/>
      <c r="L76" s="319"/>
      <c r="M76" s="319"/>
      <c r="N76" s="319"/>
      <c r="O76" s="319"/>
      <c r="P76" s="319"/>
    </row>
    <row r="77" spans="1:16" s="48" customFormat="1" hidden="1" x14ac:dyDescent="0.25">
      <c r="A77" s="261" t="s">
        <v>56</v>
      </c>
      <c r="B77" s="31"/>
      <c r="D77" s="327">
        <f>365*D75*$D42/60</f>
        <v>846.15694896928846</v>
      </c>
      <c r="E77" s="336">
        <f>365*E75*$D42/60</f>
        <v>1974.3662142616729</v>
      </c>
      <c r="F77" s="327">
        <f>365*F75*$D42/60</f>
        <v>1410.2615816154803</v>
      </c>
      <c r="G77" s="338">
        <f>365*G75*$D42/60</f>
        <v>2538.4708469078655</v>
      </c>
      <c r="H77" s="320" t="s">
        <v>573</v>
      </c>
      <c r="I77" s="19"/>
      <c r="L77" s="319"/>
      <c r="M77" s="319"/>
      <c r="N77" s="319"/>
      <c r="O77" s="319"/>
      <c r="P77" s="319"/>
    </row>
    <row r="78" spans="1:16" s="48" customFormat="1" hidden="1" x14ac:dyDescent="0.25">
      <c r="A78" s="261" t="s">
        <v>56</v>
      </c>
      <c r="B78" s="31"/>
      <c r="D78" s="327"/>
      <c r="E78" s="336">
        <f>E77-$D77</f>
        <v>1128.2092652923843</v>
      </c>
      <c r="F78" s="327">
        <f>F77-$D77</f>
        <v>564.10463264619182</v>
      </c>
      <c r="G78" s="338">
        <f>G77-$D77</f>
        <v>1692.3138979385772</v>
      </c>
      <c r="H78" s="339" t="s">
        <v>597</v>
      </c>
      <c r="I78" s="19"/>
      <c r="L78" s="319"/>
      <c r="M78" s="319"/>
      <c r="N78" s="319"/>
      <c r="O78" s="319"/>
      <c r="P78" s="319"/>
    </row>
    <row r="79" spans="1:16" s="48" customFormat="1" hidden="1" x14ac:dyDescent="0.25">
      <c r="A79" s="261" t="s">
        <v>56</v>
      </c>
      <c r="B79" s="31"/>
      <c r="D79" s="327">
        <f>365*D76*$D38/60</f>
        <v>2053.5943930041149</v>
      </c>
      <c r="E79" s="336">
        <f>365*E76*$D38/60</f>
        <v>880.11188271604942</v>
      </c>
      <c r="F79" s="327">
        <f>365*F76*$D38/60</f>
        <v>1466.8531378600821</v>
      </c>
      <c r="G79" s="338">
        <f>365*G76*$D38/60</f>
        <v>293.37062757201642</v>
      </c>
      <c r="H79" s="320" t="s">
        <v>565</v>
      </c>
      <c r="I79" s="19"/>
      <c r="L79" s="319"/>
      <c r="M79" s="319"/>
      <c r="N79" s="319"/>
      <c r="O79" s="319"/>
      <c r="P79" s="319"/>
    </row>
    <row r="80" spans="1:16" s="48" customFormat="1" hidden="1" x14ac:dyDescent="0.25">
      <c r="A80" s="261" t="s">
        <v>56</v>
      </c>
      <c r="B80" s="31"/>
      <c r="D80" s="327"/>
      <c r="E80" s="336">
        <f>E79-$D79</f>
        <v>-1173.4825102880654</v>
      </c>
      <c r="F80" s="327">
        <f>F79-$D79</f>
        <v>-586.74125514403272</v>
      </c>
      <c r="G80" s="340">
        <f>G79-$D79</f>
        <v>-1760.2237654320984</v>
      </c>
      <c r="H80" s="339" t="s">
        <v>598</v>
      </c>
      <c r="I80" s="19"/>
      <c r="L80" s="319"/>
      <c r="M80" s="319"/>
      <c r="N80" s="319"/>
      <c r="O80" s="319"/>
      <c r="P80" s="319"/>
    </row>
    <row r="81" spans="1:17" s="48" customFormat="1" hidden="1" x14ac:dyDescent="0.25">
      <c r="A81" s="261" t="s">
        <v>56</v>
      </c>
      <c r="B81" s="31"/>
      <c r="D81" s="327">
        <f>365*D76*$D39/60</f>
        <v>0</v>
      </c>
      <c r="E81" s="336">
        <f>365*E76*$D39/60</f>
        <v>0</v>
      </c>
      <c r="F81" s="327">
        <f>365*F76*$D39/60</f>
        <v>0</v>
      </c>
      <c r="G81" s="407">
        <f>365*G76*$D39/60</f>
        <v>0</v>
      </c>
      <c r="H81" s="320" t="s">
        <v>625</v>
      </c>
      <c r="I81" s="19"/>
      <c r="L81" s="319"/>
      <c r="M81" s="319"/>
      <c r="N81" s="319"/>
      <c r="O81" s="319"/>
      <c r="P81" s="319"/>
    </row>
    <row r="82" spans="1:17" s="48" customFormat="1" hidden="1" x14ac:dyDescent="0.25">
      <c r="A82" s="261" t="s">
        <v>56</v>
      </c>
      <c r="B82" s="31"/>
      <c r="D82" s="327"/>
      <c r="E82" s="336">
        <f>E81-$D81</f>
        <v>0</v>
      </c>
      <c r="F82" s="327">
        <f>F81-$D81</f>
        <v>0</v>
      </c>
      <c r="G82" s="340">
        <f>G81-$D81</f>
        <v>0</v>
      </c>
      <c r="H82" s="339" t="s">
        <v>624</v>
      </c>
      <c r="I82" s="19"/>
      <c r="L82" s="319"/>
      <c r="M82" s="319"/>
      <c r="N82" s="319"/>
      <c r="O82" s="319"/>
      <c r="P82" s="319"/>
    </row>
    <row r="83" spans="1:17" s="48" customFormat="1" hidden="1" x14ac:dyDescent="0.25">
      <c r="A83" s="261" t="s">
        <v>56</v>
      </c>
      <c r="B83" s="31"/>
      <c r="I83" s="19"/>
      <c r="L83" s="319"/>
      <c r="M83" s="319"/>
      <c r="N83" s="319"/>
      <c r="O83" s="319"/>
      <c r="P83" s="319"/>
    </row>
    <row r="84" spans="1:17" s="48" customFormat="1" ht="3.75" hidden="1" customHeight="1" x14ac:dyDescent="0.25">
      <c r="A84" s="261" t="s">
        <v>56</v>
      </c>
      <c r="B84" s="31"/>
      <c r="G84" s="254"/>
      <c r="I84" s="19"/>
      <c r="L84" s="319"/>
      <c r="M84" s="319"/>
      <c r="N84" s="319"/>
      <c r="O84" s="319"/>
      <c r="P84" s="319"/>
    </row>
    <row r="85" spans="1:17" s="48" customFormat="1" ht="15.75" hidden="1" x14ac:dyDescent="0.25">
      <c r="A85" s="261" t="s">
        <v>56</v>
      </c>
      <c r="B85" s="132"/>
      <c r="C85" s="22"/>
      <c r="D85" s="48">
        <f>'Data-beregninger'!C57/60</f>
        <v>3.7083403633210286</v>
      </c>
      <c r="E85" s="41" t="s">
        <v>429</v>
      </c>
      <c r="F85" s="41">
        <f>(100-D50-D51)/100</f>
        <v>0.75</v>
      </c>
      <c r="G85" s="333" t="s">
        <v>594</v>
      </c>
      <c r="H85" s="295" t="s">
        <v>591</v>
      </c>
      <c r="I85" s="19"/>
      <c r="L85" s="319"/>
      <c r="M85" s="319"/>
      <c r="N85" s="319"/>
      <c r="O85" s="319"/>
      <c r="P85" s="319"/>
    </row>
    <row r="86" spans="1:17" ht="15.75" hidden="1" x14ac:dyDescent="0.25">
      <c r="A86" s="261" t="s">
        <v>56</v>
      </c>
      <c r="B86" s="132"/>
      <c r="C86" s="22"/>
      <c r="D86" s="48">
        <f>'Data-beregninger'!C59/60</f>
        <v>11.108143199999999</v>
      </c>
      <c r="E86" s="41" t="s">
        <v>429</v>
      </c>
      <c r="F86" s="41">
        <f>D50/100</f>
        <v>0.2</v>
      </c>
      <c r="G86" s="333" t="s">
        <v>594</v>
      </c>
      <c r="H86" s="295" t="s">
        <v>592</v>
      </c>
    </row>
    <row r="87" spans="1:17" ht="15.75" hidden="1" x14ac:dyDescent="0.25">
      <c r="A87" s="261" t="s">
        <v>56</v>
      </c>
      <c r="B87" s="132"/>
      <c r="C87" s="22"/>
      <c r="D87" s="48">
        <f>'Data-beregninger'!C58/60</f>
        <v>12.307699450292747</v>
      </c>
      <c r="E87" s="41" t="s">
        <v>429</v>
      </c>
      <c r="F87" s="41">
        <f>D51/100</f>
        <v>0.05</v>
      </c>
      <c r="G87" s="333" t="s">
        <v>594</v>
      </c>
      <c r="H87" s="295" t="s">
        <v>593</v>
      </c>
    </row>
    <row r="88" spans="1:17" ht="15.75" hidden="1" x14ac:dyDescent="0.25">
      <c r="A88" s="261" t="s">
        <v>56</v>
      </c>
      <c r="B88" s="132"/>
      <c r="C88" s="22"/>
      <c r="D88" s="48">
        <f>D85*F85+D86*F86+D87*F87</f>
        <v>5.618268885005409</v>
      </c>
      <c r="E88" s="41" t="s">
        <v>429</v>
      </c>
      <c r="F88" s="41"/>
      <c r="H88" s="295" t="s">
        <v>595</v>
      </c>
    </row>
    <row r="89" spans="1:17" ht="15.75" hidden="1" x14ac:dyDescent="0.25">
      <c r="A89" s="261" t="s">
        <v>56</v>
      </c>
      <c r="B89" s="132"/>
      <c r="C89" s="22"/>
      <c r="D89" s="48">
        <f>'Data-beregninger'!C61/60</f>
        <v>5.6955183999999992</v>
      </c>
      <c r="E89" s="41" t="s">
        <v>429</v>
      </c>
      <c r="F89" s="41"/>
      <c r="H89" s="320" t="s">
        <v>596</v>
      </c>
    </row>
    <row r="90" spans="1:17" ht="15.75" hidden="1" x14ac:dyDescent="0.25">
      <c r="A90" s="261" t="s">
        <v>56</v>
      </c>
      <c r="B90" s="132"/>
      <c r="C90" s="22"/>
      <c r="D90" s="48">
        <f>'Data-beregninger'!C63/60</f>
        <v>2.535676</v>
      </c>
      <c r="E90" s="41" t="s">
        <v>429</v>
      </c>
      <c r="F90" s="41"/>
      <c r="H90" s="320" t="s">
        <v>623</v>
      </c>
    </row>
    <row r="91" spans="1:17" s="297" customFormat="1" ht="18.75" x14ac:dyDescent="0.25">
      <c r="A91" s="144" t="s">
        <v>5</v>
      </c>
      <c r="B91" s="145"/>
      <c r="C91" s="18"/>
      <c r="D91" s="140"/>
      <c r="E91" s="18"/>
      <c r="F91" s="18"/>
      <c r="G91" s="330"/>
      <c r="H91" s="18"/>
      <c r="I91" s="296"/>
      <c r="J91" s="48"/>
      <c r="K91" s="48"/>
      <c r="L91" s="319"/>
      <c r="M91" s="319"/>
      <c r="N91" s="319"/>
      <c r="O91" s="319"/>
    </row>
    <row r="92" spans="1:17" ht="15" hidden="1" customHeight="1" x14ac:dyDescent="0.25">
      <c r="A92" s="261" t="s">
        <v>56</v>
      </c>
      <c r="B92" s="132"/>
      <c r="D92" s="137"/>
      <c r="J92" s="23" t="s">
        <v>195</v>
      </c>
      <c r="K92" s="23" t="s">
        <v>202</v>
      </c>
      <c r="L92" s="213" t="s">
        <v>203</v>
      </c>
      <c r="M92" s="213"/>
      <c r="N92" s="19"/>
      <c r="O92" s="19"/>
      <c r="P92" s="19"/>
      <c r="Q92" s="19"/>
    </row>
    <row r="93" spans="1:17" ht="15" hidden="1" customHeight="1" x14ac:dyDescent="0.25">
      <c r="A93" s="261" t="s">
        <v>56</v>
      </c>
      <c r="B93" s="132"/>
      <c r="D93" s="137"/>
      <c r="J93" s="23" t="s">
        <v>201</v>
      </c>
      <c r="K93" s="408">
        <f>COUNT(D27,D33,D34,D38,D39,D42,D45)</f>
        <v>7</v>
      </c>
      <c r="L93" s="213">
        <v>7</v>
      </c>
      <c r="M93" s="213"/>
      <c r="N93" s="19"/>
      <c r="O93" s="213">
        <f>IF(K93=L93,0,1)</f>
        <v>0</v>
      </c>
      <c r="P93" s="213" t="str">
        <f>IF(K93=L93,""," - Oransje celler")</f>
        <v/>
      </c>
      <c r="Q93" s="213"/>
    </row>
    <row r="94" spans="1:17" ht="15" hidden="1" customHeight="1" x14ac:dyDescent="0.25">
      <c r="A94" s="261" t="s">
        <v>56</v>
      </c>
      <c r="B94" s="132"/>
      <c r="D94" s="137"/>
      <c r="J94" s="23"/>
      <c r="K94" s="409" t="s">
        <v>518</v>
      </c>
      <c r="L94" s="410" t="s">
        <v>612</v>
      </c>
      <c r="M94" s="410" t="s">
        <v>613</v>
      </c>
      <c r="N94" s="213"/>
      <c r="O94" s="23" t="s">
        <v>518</v>
      </c>
      <c r="P94" s="213" t="s">
        <v>615</v>
      </c>
      <c r="Q94" s="213" t="s">
        <v>616</v>
      </c>
    </row>
    <row r="95" spans="1:17" ht="15" hidden="1" customHeight="1" x14ac:dyDescent="0.25">
      <c r="A95" s="261" t="s">
        <v>56</v>
      </c>
      <c r="B95" s="132"/>
      <c r="D95" s="137"/>
      <c r="J95" s="23" t="s">
        <v>514</v>
      </c>
      <c r="K95" s="23"/>
      <c r="L95" s="213"/>
      <c r="M95" s="213"/>
      <c r="N95" s="19"/>
      <c r="O95" s="213" t="s">
        <v>517</v>
      </c>
      <c r="P95" s="213"/>
      <c r="Q95" s="213"/>
    </row>
    <row r="96" spans="1:17" ht="15" hidden="1" customHeight="1" x14ac:dyDescent="0.25">
      <c r="A96" s="261" t="s">
        <v>56</v>
      </c>
      <c r="B96" s="132"/>
      <c r="D96" s="137"/>
      <c r="J96" s="23" t="s">
        <v>242</v>
      </c>
      <c r="K96" s="23">
        <v>6</v>
      </c>
      <c r="L96" s="23">
        <v>4</v>
      </c>
      <c r="M96" s="23">
        <v>2</v>
      </c>
      <c r="N96" s="23"/>
      <c r="O96" s="213">
        <f>IF(D8="Nei",0,IF(K96=K100,0,1))</f>
        <v>0</v>
      </c>
      <c r="P96" s="213">
        <f>IF(E8="Nei",0,IF(L96=L100,0,1))</f>
        <v>0</v>
      </c>
      <c r="Q96" s="213">
        <f>IF(F8="Nei",0,IF(M96=M100,0,1))</f>
        <v>0</v>
      </c>
    </row>
    <row r="97" spans="1:17" ht="15" hidden="1" customHeight="1" x14ac:dyDescent="0.25">
      <c r="A97" s="261" t="s">
        <v>56</v>
      </c>
      <c r="B97" s="132"/>
      <c r="D97" s="137"/>
      <c r="J97" s="23"/>
      <c r="K97" s="23"/>
      <c r="L97" s="23"/>
      <c r="M97" s="23"/>
      <c r="N97" s="23"/>
      <c r="O97" s="213"/>
      <c r="P97" s="213"/>
      <c r="Q97" s="213"/>
    </row>
    <row r="98" spans="1:17" ht="15" hidden="1" customHeight="1" x14ac:dyDescent="0.25">
      <c r="A98" s="261" t="s">
        <v>56</v>
      </c>
      <c r="B98" s="132"/>
      <c r="D98" s="137"/>
      <c r="J98" s="23"/>
      <c r="K98" s="23"/>
      <c r="L98" s="23"/>
      <c r="M98" s="23"/>
      <c r="N98" s="23"/>
      <c r="O98" s="213"/>
      <c r="P98" s="213"/>
      <c r="Q98" s="213"/>
    </row>
    <row r="99" spans="1:17" ht="15" hidden="1" customHeight="1" x14ac:dyDescent="0.25">
      <c r="A99" s="261" t="s">
        <v>56</v>
      </c>
      <c r="B99" s="132"/>
      <c r="D99" s="137"/>
      <c r="J99" s="23" t="s">
        <v>515</v>
      </c>
      <c r="K99" s="23"/>
      <c r="L99" s="23"/>
      <c r="M99" s="23"/>
      <c r="N99" s="23"/>
      <c r="O99" s="213" t="s">
        <v>519</v>
      </c>
      <c r="P99" s="213"/>
      <c r="Q99" s="213"/>
    </row>
    <row r="100" spans="1:17" ht="15" hidden="1" customHeight="1" x14ac:dyDescent="0.25">
      <c r="A100" s="261" t="s">
        <v>56</v>
      </c>
      <c r="B100" s="132"/>
      <c r="D100" s="137"/>
      <c r="J100" s="23" t="s">
        <v>242</v>
      </c>
      <c r="K100" s="23">
        <f>COUNT(O44,D47,D48,D49,D57,D60)</f>
        <v>6</v>
      </c>
      <c r="L100" s="23">
        <f>COUNT(D69,E69,D50,D51)</f>
        <v>4</v>
      </c>
      <c r="M100" s="23">
        <f>COUNT(D69:E69)</f>
        <v>2</v>
      </c>
      <c r="N100" s="23"/>
      <c r="O100" s="213" t="str">
        <f>IF(O96=1,CONCATENATE(" - ",O$94),"")</f>
        <v/>
      </c>
      <c r="P100" s="213" t="str">
        <f>IF(P96=1,CONCATENATE(" - ",P$94),"")</f>
        <v/>
      </c>
      <c r="Q100" s="213" t="str">
        <f>IF(Q96=1,CONCATENATE(" - ",Q$94),"")</f>
        <v/>
      </c>
    </row>
    <row r="101" spans="1:17" ht="15" hidden="1" customHeight="1" x14ac:dyDescent="0.25">
      <c r="A101" s="261" t="s">
        <v>56</v>
      </c>
      <c r="B101" s="132"/>
      <c r="D101" s="137"/>
      <c r="J101" s="23"/>
      <c r="K101" s="23"/>
      <c r="L101" s="23"/>
      <c r="M101" s="23"/>
      <c r="N101" s="23"/>
      <c r="O101" s="213"/>
      <c r="P101" s="213"/>
      <c r="Q101" s="213"/>
    </row>
    <row r="102" spans="1:17" ht="15" hidden="1" customHeight="1" x14ac:dyDescent="0.25">
      <c r="A102" s="261" t="s">
        <v>56</v>
      </c>
      <c r="B102" s="132"/>
      <c r="D102" s="137"/>
      <c r="J102" s="23"/>
      <c r="K102" s="23"/>
      <c r="L102" s="23"/>
      <c r="M102" s="23"/>
      <c r="N102" s="23"/>
      <c r="O102" s="213"/>
      <c r="P102" s="213"/>
      <c r="Q102" s="213"/>
    </row>
    <row r="103" spans="1:17" s="297" customFormat="1" ht="25.5" x14ac:dyDescent="0.25">
      <c r="A103" s="246"/>
      <c r="B103" s="247"/>
      <c r="C103" s="248" t="s">
        <v>326</v>
      </c>
      <c r="D103" s="827" t="str">
        <f>IF(SUM(O93,O96:R98)=0,"",CONCATENATE("Det mangler informasjon, sjekk beregningsforutsetninger for: ",P93,O100,O101,O102,P100,P101,P102,Q100,Q101,Q102,R100,R101,R102," eller endre Ja/Nei under 'Nyttekomponenter som inngår…'"))</f>
        <v/>
      </c>
      <c r="E103" s="853"/>
      <c r="F103" s="853"/>
      <c r="G103" s="853"/>
      <c r="H103" s="853"/>
      <c r="I103" s="253"/>
      <c r="J103" s="254">
        <f>COUNT(D27,D33,D34,D35,#REF!,#REF!,#REF!,#REF!,#REF!,D66,D69,D76,D62)</f>
        <v>7</v>
      </c>
      <c r="K103" s="254">
        <v>13</v>
      </c>
      <c r="L103" s="319"/>
      <c r="M103" s="319"/>
      <c r="N103" s="319"/>
      <c r="O103" s="319"/>
    </row>
    <row r="104" spans="1:17" s="297" customFormat="1" ht="15.75" x14ac:dyDescent="0.25">
      <c r="A104" s="246"/>
      <c r="B104" s="145" t="s">
        <v>516</v>
      </c>
      <c r="C104" s="248"/>
      <c r="D104" s="50" t="s">
        <v>54</v>
      </c>
      <c r="E104" s="50" t="s">
        <v>92</v>
      </c>
      <c r="F104" s="50" t="s">
        <v>93</v>
      </c>
      <c r="G104" s="251"/>
      <c r="H104" s="298"/>
      <c r="I104" s="253"/>
      <c r="J104" s="254"/>
      <c r="K104" s="254"/>
      <c r="L104" s="319"/>
      <c r="M104" s="319"/>
      <c r="N104" s="319"/>
      <c r="O104" s="319"/>
    </row>
    <row r="105" spans="1:17" s="297" customFormat="1" x14ac:dyDescent="0.25">
      <c r="A105" s="149">
        <f>MAXA(A$27:A104)+1</f>
        <v>26</v>
      </c>
      <c r="B105" s="147"/>
      <c r="C105" s="24" t="s">
        <v>125</v>
      </c>
      <c r="D105" s="514">
        <f>IF(D8="Ja",$D56*D57*$D55*(-D61)*$J30/1000000,)</f>
        <v>0.61771673209917721</v>
      </c>
      <c r="E105" s="515">
        <f>IF(D8="Ja",$D56*D57*$D55*(-E61)*$J30/1000000,)</f>
        <v>0.37063003925950633</v>
      </c>
      <c r="F105" s="515">
        <f>IF(D8="Ja",$D56*D57*$D55*(-F61)*$J30/1000000,)</f>
        <v>1.2354334641983544</v>
      </c>
      <c r="G105" s="330">
        <f>A105</f>
        <v>26</v>
      </c>
      <c r="H105" s="418" t="s">
        <v>952</v>
      </c>
      <c r="I105" s="296"/>
      <c r="J105" s="48"/>
      <c r="K105" s="48"/>
      <c r="L105" s="319"/>
      <c r="M105" s="319"/>
      <c r="N105" s="319"/>
      <c r="O105" s="319"/>
    </row>
    <row r="106" spans="1:17" s="4" customFormat="1" ht="3.95" customHeight="1" x14ac:dyDescent="0.25">
      <c r="A106" s="149"/>
      <c r="B106" s="147"/>
      <c r="C106" s="24"/>
      <c r="D106" s="530"/>
      <c r="E106" s="529"/>
      <c r="F106" s="529"/>
      <c r="G106" s="330"/>
      <c r="H106" s="293"/>
      <c r="I106" s="18"/>
      <c r="J106" s="48"/>
      <c r="K106" s="48"/>
      <c r="L106" s="319"/>
      <c r="M106" s="319"/>
      <c r="N106" s="319"/>
      <c r="O106" s="319"/>
    </row>
    <row r="107" spans="1:17" s="297" customFormat="1" ht="15.75" x14ac:dyDescent="0.25">
      <c r="A107" s="149"/>
      <c r="B107" s="145" t="s">
        <v>556</v>
      </c>
      <c r="C107" s="24"/>
      <c r="D107" s="530"/>
      <c r="E107" s="529"/>
      <c r="F107" s="529"/>
      <c r="G107" s="330"/>
      <c r="H107" s="293"/>
      <c r="I107" s="296"/>
      <c r="J107" s="48"/>
      <c r="K107" s="48"/>
      <c r="L107" s="319"/>
      <c r="M107" s="319"/>
      <c r="N107" s="319"/>
      <c r="O107" s="319"/>
    </row>
    <row r="108" spans="1:17" s="4" customFormat="1" ht="3.95" customHeight="1" x14ac:dyDescent="0.25">
      <c r="A108" s="149"/>
      <c r="B108" s="147"/>
      <c r="C108" s="24"/>
      <c r="D108" s="530"/>
      <c r="E108" s="529"/>
      <c r="F108" s="529"/>
      <c r="G108" s="330"/>
      <c r="H108" s="293"/>
      <c r="I108" s="18"/>
      <c r="J108" s="48"/>
      <c r="K108" s="48"/>
      <c r="L108" s="319"/>
      <c r="M108" s="319"/>
      <c r="N108" s="319"/>
      <c r="O108" s="319"/>
    </row>
    <row r="109" spans="1:17" s="297" customFormat="1" x14ac:dyDescent="0.25">
      <c r="A109" s="149">
        <f>MAXA(A$27:A108)+1</f>
        <v>27</v>
      </c>
      <c r="B109" s="147"/>
      <c r="C109" s="24" t="s">
        <v>583</v>
      </c>
      <c r="D109" s="559">
        <f>IF(SUM(K8:L8)&gt;0,100*(-1+E72/$D72),"")</f>
        <v>133.33333333333334</v>
      </c>
      <c r="E109" s="560">
        <f>IF(SUM(K8:L8),100*(-1+F72/$D72),"")</f>
        <v>66.666666666666671</v>
      </c>
      <c r="F109" s="560">
        <f>IF(SUM(K8:L8)&gt;0,100*(-1+G72/$D72),"")</f>
        <v>200</v>
      </c>
      <c r="G109" s="330">
        <f t="shared" ref="G109:G116" si="5">A109</f>
        <v>27</v>
      </c>
      <c r="H109" s="360" t="s">
        <v>784</v>
      </c>
      <c r="I109" s="296"/>
      <c r="J109" s="48"/>
      <c r="K109" s="48"/>
      <c r="L109" s="319"/>
      <c r="M109" s="319"/>
      <c r="N109" s="319"/>
      <c r="O109" s="319"/>
    </row>
    <row r="110" spans="1:17" s="297" customFormat="1" x14ac:dyDescent="0.25">
      <c r="A110" s="149">
        <f>MAXA(A$27:A109)+1</f>
        <v>28</v>
      </c>
      <c r="B110" s="147"/>
      <c r="C110" s="24" t="s">
        <v>587</v>
      </c>
      <c r="D110" s="559">
        <f>IF(SUM(K8:L8)&gt;0,100*(-1+E74/$D74),"")</f>
        <v>-57.142857142857139</v>
      </c>
      <c r="E110" s="560">
        <f>IF(SUM(K8:L8)&gt;0,100*(-1+F74/$D74),"")</f>
        <v>-28.571428571428569</v>
      </c>
      <c r="F110" s="560">
        <f>IF(SUM(K8:L8)&gt;0,100*(-1+G74/$D74),"")</f>
        <v>-85.714285714285722</v>
      </c>
      <c r="G110" s="330">
        <f t="shared" si="5"/>
        <v>28</v>
      </c>
      <c r="H110" s="360" t="s">
        <v>781</v>
      </c>
      <c r="I110" s="296"/>
      <c r="J110" s="48"/>
      <c r="K110" s="48"/>
      <c r="L110" s="319"/>
      <c r="M110" s="319"/>
      <c r="N110" s="319"/>
      <c r="O110" s="319"/>
    </row>
    <row r="111" spans="1:17" s="297" customFormat="1" x14ac:dyDescent="0.25">
      <c r="A111" s="149">
        <f>MAXA(A$27:A110)+1</f>
        <v>29</v>
      </c>
      <c r="B111" s="147"/>
      <c r="C111" s="24" t="s">
        <v>588</v>
      </c>
      <c r="D111" s="587">
        <f>IF(SUM(K8:L8)&gt;0,E76-$D76,"")</f>
        <v>-0.38580246913580241</v>
      </c>
      <c r="E111" s="588">
        <f>IF(SUM(K8:L8)&gt;0,F76-$D76,"")</f>
        <v>-0.1929012345679012</v>
      </c>
      <c r="F111" s="588">
        <f>IF(SUM(K8:L8)&gt;0,G76-$D76,"")</f>
        <v>-0.57870370370370361</v>
      </c>
      <c r="G111" s="330">
        <f t="shared" si="5"/>
        <v>29</v>
      </c>
      <c r="H111" s="18" t="s">
        <v>783</v>
      </c>
      <c r="I111" s="296"/>
      <c r="J111" s="48"/>
      <c r="K111" s="48"/>
      <c r="L111" s="319"/>
      <c r="M111" s="319"/>
      <c r="N111" s="319"/>
      <c r="O111" s="319"/>
    </row>
    <row r="112" spans="1:17" s="4" customFormat="1" ht="3.95" customHeight="1" x14ac:dyDescent="0.25">
      <c r="A112" s="149"/>
      <c r="B112" s="147"/>
      <c r="C112" s="24"/>
      <c r="D112" s="530"/>
      <c r="E112" s="529"/>
      <c r="F112" s="529"/>
      <c r="G112" s="330"/>
      <c r="H112" s="293"/>
      <c r="I112" s="18"/>
      <c r="J112" s="48"/>
      <c r="K112" s="48"/>
      <c r="L112" s="319"/>
      <c r="M112" s="319"/>
      <c r="N112" s="319"/>
      <c r="O112" s="319"/>
    </row>
    <row r="113" spans="1:15" s="297" customFormat="1" x14ac:dyDescent="0.25">
      <c r="A113" s="149">
        <f>MAXA(A$27:A112)+1</f>
        <v>30</v>
      </c>
      <c r="B113" s="147"/>
      <c r="C113" s="24" t="s">
        <v>584</v>
      </c>
      <c r="D113" s="514">
        <f>IF($E8="Ja",-E78*$D88*$J32/1000000,)</f>
        <v>0</v>
      </c>
      <c r="E113" s="515">
        <f>IF($E8="Ja",-G78*$D88*$J32/1000000,)</f>
        <v>0</v>
      </c>
      <c r="F113" s="515">
        <f>IF($E8="Ja",-F78*$D88*$J32/1000000,)</f>
        <v>0</v>
      </c>
      <c r="G113" s="330">
        <f t="shared" si="5"/>
        <v>30</v>
      </c>
      <c r="H113" s="418" t="s">
        <v>953</v>
      </c>
      <c r="I113" s="296"/>
      <c r="J113" s="48"/>
      <c r="K113" s="48"/>
      <c r="L113" s="319"/>
      <c r="M113" s="319"/>
      <c r="N113" s="319"/>
      <c r="O113" s="319"/>
    </row>
    <row r="114" spans="1:15" s="297" customFormat="1" x14ac:dyDescent="0.25">
      <c r="A114" s="149">
        <f>MAXA(A$27:A113)+1</f>
        <v>31</v>
      </c>
      <c r="B114" s="147"/>
      <c r="C114" s="24" t="s">
        <v>589</v>
      </c>
      <c r="D114" s="514">
        <f>IF($F8="Ja",-E80*$D89*$J33/1000000,)</f>
        <v>9.2173787178170041E-2</v>
      </c>
      <c r="E114" s="515">
        <f>IF($F8="Ja",-F80*$D89*$J33/1000000,)</f>
        <v>4.6086893589085021E-2</v>
      </c>
      <c r="F114" s="515">
        <f>IF($F8="Ja",-G80*$D89*$J33/1000000,)</f>
        <v>0.13826068076725509</v>
      </c>
      <c r="G114" s="330">
        <f t="shared" si="5"/>
        <v>31</v>
      </c>
      <c r="H114" s="418" t="s">
        <v>954</v>
      </c>
      <c r="I114" s="296"/>
      <c r="J114" s="48"/>
      <c r="K114" s="48"/>
      <c r="L114" s="319"/>
      <c r="M114" s="319"/>
      <c r="N114" s="319"/>
      <c r="O114" s="319"/>
    </row>
    <row r="115" spans="1:15" s="297" customFormat="1" x14ac:dyDescent="0.25">
      <c r="A115" s="149">
        <f>MAXA(A$27:A114)+1</f>
        <v>32</v>
      </c>
      <c r="B115" s="147"/>
      <c r="C115" s="24" t="s">
        <v>626</v>
      </c>
      <c r="D115" s="514">
        <f>IF($F8="Ja",-E82*$D90*$J33/1000000,)</f>
        <v>0</v>
      </c>
      <c r="E115" s="515">
        <f>IF($F8="Ja",-F82*$D90*$J33/1000000,)</f>
        <v>0</v>
      </c>
      <c r="F115" s="515">
        <f>IF($F8="Ja",-G82*$D90*$J33/1000000,)</f>
        <v>0</v>
      </c>
      <c r="G115" s="330">
        <f>A115</f>
        <v>32</v>
      </c>
      <c r="H115" s="418" t="s">
        <v>955</v>
      </c>
      <c r="I115" s="296"/>
      <c r="J115" s="48"/>
      <c r="K115" s="48"/>
      <c r="L115" s="319"/>
      <c r="M115" s="319"/>
      <c r="N115" s="319"/>
      <c r="O115" s="319"/>
    </row>
    <row r="116" spans="1:15" s="297" customFormat="1" x14ac:dyDescent="0.25">
      <c r="A116" s="149">
        <f>MAXA(A$27:A115)+1</f>
        <v>33</v>
      </c>
      <c r="B116" s="147"/>
      <c r="C116" s="24" t="s">
        <v>590</v>
      </c>
      <c r="D116" s="514">
        <f>D114+D113+D115</f>
        <v>9.2173787178170041E-2</v>
      </c>
      <c r="E116" s="515">
        <f>E114+E113+E115</f>
        <v>4.6086893589085021E-2</v>
      </c>
      <c r="F116" s="515">
        <f>F114+F113+F115</f>
        <v>0.13826068076725509</v>
      </c>
      <c r="G116" s="330">
        <f t="shared" si="5"/>
        <v>33</v>
      </c>
      <c r="H116" s="418" t="s">
        <v>956</v>
      </c>
      <c r="I116" s="296"/>
      <c r="J116" s="48"/>
      <c r="K116" s="48"/>
      <c r="L116" s="319"/>
      <c r="M116" s="319"/>
      <c r="N116" s="319"/>
      <c r="O116" s="319"/>
    </row>
    <row r="117" spans="1:15" s="4" customFormat="1" ht="3.95" customHeight="1" x14ac:dyDescent="0.25">
      <c r="A117" s="149"/>
      <c r="B117" s="147"/>
      <c r="C117" s="24"/>
      <c r="D117" s="530"/>
      <c r="E117" s="529"/>
      <c r="F117" s="529"/>
      <c r="G117" s="330"/>
      <c r="H117" s="293"/>
      <c r="I117" s="18"/>
      <c r="J117" s="48"/>
      <c r="K117" s="48"/>
      <c r="L117" s="319"/>
      <c r="M117" s="319"/>
      <c r="N117" s="319"/>
      <c r="O117" s="319"/>
    </row>
    <row r="118" spans="1:15" s="297" customFormat="1" ht="18.75" x14ac:dyDescent="0.25">
      <c r="A118" s="144" t="s">
        <v>11</v>
      </c>
      <c r="B118" s="147"/>
      <c r="C118" s="18"/>
      <c r="D118" s="536"/>
      <c r="E118" s="529"/>
      <c r="F118" s="529"/>
      <c r="G118" s="330"/>
      <c r="H118" s="21"/>
      <c r="I118" s="296"/>
      <c r="J118" s="48"/>
      <c r="K118" s="48"/>
      <c r="L118" s="319"/>
      <c r="M118" s="319"/>
      <c r="N118" s="319"/>
      <c r="O118" s="319"/>
    </row>
    <row r="119" spans="1:15" s="297" customFormat="1" x14ac:dyDescent="0.25">
      <c r="A119" s="149">
        <f>MAXA(A$27:A118)+1</f>
        <v>34</v>
      </c>
      <c r="B119" s="147"/>
      <c r="C119" s="24" t="s">
        <v>59</v>
      </c>
      <c r="D119" s="524">
        <f>(D$33*D34+E$33*E34)/1000000</f>
        <v>0.45</v>
      </c>
      <c r="E119" s="529"/>
      <c r="F119" s="569"/>
      <c r="G119" s="330">
        <f>A119</f>
        <v>34</v>
      </c>
      <c r="H119" s="418" t="s">
        <v>957</v>
      </c>
      <c r="I119" s="296"/>
      <c r="J119" s="48"/>
      <c r="K119" s="48"/>
      <c r="L119" s="319"/>
      <c r="M119" s="319"/>
      <c r="N119" s="319"/>
      <c r="O119" s="319"/>
    </row>
    <row r="120" spans="1:15" s="297" customFormat="1" x14ac:dyDescent="0.25">
      <c r="A120" s="149">
        <f>MAXA(A$27:A119)+1</f>
        <v>35</v>
      </c>
      <c r="B120" s="147"/>
      <c r="C120" s="24" t="s">
        <v>401</v>
      </c>
      <c r="D120" s="524">
        <f>(D$33*D35+E$33*E35)*D$30/1000000</f>
        <v>0.36499031007097665</v>
      </c>
      <c r="E120" s="529"/>
      <c r="F120" s="569"/>
      <c r="G120" s="330">
        <f>A120</f>
        <v>35</v>
      </c>
      <c r="H120" s="420" t="s">
        <v>958</v>
      </c>
      <c r="I120" s="296"/>
      <c r="J120" s="48"/>
      <c r="K120" s="48"/>
      <c r="L120" s="319"/>
      <c r="M120" s="319"/>
      <c r="N120" s="319"/>
      <c r="O120" s="319"/>
    </row>
    <row r="121" spans="1:15" s="297" customFormat="1" x14ac:dyDescent="0.25">
      <c r="A121" s="149">
        <f>MAXA(A$27:A120)+1</f>
        <v>36</v>
      </c>
      <c r="B121" s="147"/>
      <c r="C121" s="24" t="s">
        <v>60</v>
      </c>
      <c r="D121" s="524">
        <f>D119+D120</f>
        <v>0.81499031007097666</v>
      </c>
      <c r="E121" s="529"/>
      <c r="F121" s="529"/>
      <c r="G121" s="330">
        <f>A121</f>
        <v>36</v>
      </c>
      <c r="H121" s="420" t="s">
        <v>959</v>
      </c>
      <c r="I121" s="296"/>
      <c r="J121" s="48"/>
      <c r="K121" s="48"/>
      <c r="L121" s="319"/>
      <c r="M121" s="319"/>
      <c r="N121" s="319"/>
      <c r="O121" s="319"/>
    </row>
    <row r="122" spans="1:15" s="4" customFormat="1" ht="3.95" customHeight="1" x14ac:dyDescent="0.25">
      <c r="A122" s="149"/>
      <c r="B122" s="147"/>
      <c r="C122" s="24"/>
      <c r="D122" s="574"/>
      <c r="E122" s="529"/>
      <c r="F122" s="529"/>
      <c r="G122" s="330"/>
      <c r="H122" s="293"/>
      <c r="I122" s="18"/>
      <c r="J122" s="48"/>
      <c r="K122" s="48"/>
      <c r="L122" s="319"/>
      <c r="M122" s="319"/>
      <c r="N122" s="319"/>
      <c r="O122" s="319"/>
    </row>
    <row r="123" spans="1:15" s="297" customFormat="1" x14ac:dyDescent="0.25">
      <c r="A123" s="149">
        <f>MAXA(A$27:A122)+1</f>
        <v>37</v>
      </c>
      <c r="B123" s="147"/>
      <c r="C123" s="24" t="s">
        <v>114</v>
      </c>
      <c r="D123" s="514">
        <f>SUM(D119:D120)*(100+D29)/100</f>
        <v>0.97798837208517198</v>
      </c>
      <c r="E123" s="529"/>
      <c r="F123" s="529"/>
      <c r="G123" s="330">
        <f>A123</f>
        <v>37</v>
      </c>
      <c r="H123" s="420" t="s">
        <v>960</v>
      </c>
      <c r="I123" s="296"/>
      <c r="J123" s="48"/>
      <c r="K123" s="48"/>
      <c r="L123" s="319"/>
      <c r="M123" s="319"/>
      <c r="N123" s="319"/>
      <c r="O123" s="319"/>
    </row>
    <row r="124" spans="1:15" s="297" customFormat="1" ht="18.75" x14ac:dyDescent="0.25">
      <c r="A124" s="144" t="s">
        <v>117</v>
      </c>
      <c r="B124" s="147"/>
      <c r="C124" s="18"/>
      <c r="D124" s="536"/>
      <c r="E124" s="536"/>
      <c r="F124" s="536"/>
      <c r="G124" s="330"/>
      <c r="H124" s="21"/>
      <c r="I124" s="296"/>
      <c r="J124" s="48"/>
      <c r="K124" s="48"/>
      <c r="L124" s="319"/>
      <c r="M124" s="319"/>
      <c r="N124" s="319"/>
      <c r="O124" s="319"/>
    </row>
    <row r="125" spans="1:15" s="297" customFormat="1" x14ac:dyDescent="0.25">
      <c r="A125" s="149">
        <f>MAXA(A$27:A124)+1</f>
        <v>38</v>
      </c>
      <c r="B125" s="147"/>
      <c r="C125" s="24" t="s">
        <v>12</v>
      </c>
      <c r="D125" s="514">
        <f>(D105+D116)-$D123</f>
        <v>-0.26809785280782472</v>
      </c>
      <c r="E125" s="515">
        <f>(E105+E116)-$D123</f>
        <v>-0.56127143923658063</v>
      </c>
      <c r="F125" s="515">
        <f>(F105+F116)-$D123</f>
        <v>0.39570577288043751</v>
      </c>
      <c r="G125" s="330">
        <f>A125</f>
        <v>38</v>
      </c>
      <c r="H125" s="18" t="s">
        <v>860</v>
      </c>
      <c r="I125" s="296"/>
      <c r="J125" s="48"/>
      <c r="K125" s="48"/>
      <c r="L125" s="319"/>
      <c r="M125" s="319"/>
      <c r="N125" s="319"/>
      <c r="O125" s="319"/>
    </row>
    <row r="126" spans="1:15" s="297" customFormat="1" x14ac:dyDescent="0.25">
      <c r="A126" s="149">
        <f>MAXA(A$27:A125)+1</f>
        <v>39</v>
      </c>
      <c r="B126" s="147"/>
      <c r="C126" s="24" t="s">
        <v>14</v>
      </c>
      <c r="D126" s="514">
        <f>D125/$D123</f>
        <v>-0.2741319431397865</v>
      </c>
      <c r="E126" s="515">
        <f>E125/$D123</f>
        <v>-0.57390400055564272</v>
      </c>
      <c r="F126" s="515">
        <f>F125/$D123</f>
        <v>0.40461194036157305</v>
      </c>
      <c r="G126" s="330">
        <f>A126</f>
        <v>39</v>
      </c>
      <c r="H126" s="18" t="s">
        <v>52</v>
      </c>
      <c r="I126" s="296"/>
      <c r="J126" s="48"/>
      <c r="K126" s="48"/>
      <c r="L126" s="319"/>
      <c r="M126" s="319"/>
      <c r="N126" s="319"/>
      <c r="O126" s="319"/>
    </row>
    <row r="127" spans="1:15" s="297" customFormat="1" x14ac:dyDescent="0.25">
      <c r="A127" s="149">
        <f>MAXA(A$27:A126)+1</f>
        <v>40</v>
      </c>
      <c r="B127" s="147"/>
      <c r="C127" s="24" t="s">
        <v>13</v>
      </c>
      <c r="D127" s="514">
        <f>(D105+D116)/$D123</f>
        <v>0.7258680568602135</v>
      </c>
      <c r="E127" s="515">
        <f>(E105+E116)/$D123</f>
        <v>0.42609599944435733</v>
      </c>
      <c r="F127" s="515">
        <f>(F105+F116)/$D123</f>
        <v>1.4046119403615731</v>
      </c>
      <c r="G127" s="330">
        <f>A127</f>
        <v>40</v>
      </c>
      <c r="H127" s="18" t="s">
        <v>606</v>
      </c>
      <c r="I127" s="296"/>
      <c r="J127" s="48"/>
      <c r="K127" s="48"/>
      <c r="L127" s="319"/>
      <c r="M127" s="319"/>
      <c r="N127" s="319"/>
      <c r="O127" s="319"/>
    </row>
    <row r="128" spans="1:15" s="297" customFormat="1" x14ac:dyDescent="0.25">
      <c r="A128" s="149"/>
      <c r="B128" s="147"/>
      <c r="C128" s="24"/>
      <c r="D128" s="64"/>
      <c r="E128" s="65"/>
      <c r="F128" s="65"/>
      <c r="G128" s="330"/>
      <c r="H128" s="18"/>
      <c r="I128" s="18"/>
      <c r="J128" s="48"/>
      <c r="K128" s="48"/>
      <c r="L128" s="319"/>
      <c r="M128" s="319"/>
      <c r="N128" s="319"/>
      <c r="O128" s="319"/>
    </row>
    <row r="129" spans="1:16" s="297" customFormat="1" ht="18.75" x14ac:dyDescent="0.3">
      <c r="A129" s="207" t="s">
        <v>330</v>
      </c>
      <c r="B129" s="147"/>
      <c r="C129" s="24"/>
      <c r="D129" s="64"/>
      <c r="E129" s="65"/>
      <c r="F129" s="65"/>
      <c r="G129" s="330"/>
      <c r="H129" s="18"/>
      <c r="I129" s="18"/>
      <c r="J129" s="48"/>
      <c r="K129" s="48"/>
      <c r="L129" s="319"/>
      <c r="M129" s="319"/>
      <c r="N129" s="319"/>
      <c r="O129" s="319"/>
    </row>
    <row r="130" spans="1:16" s="18" customFormat="1" ht="5.0999999999999996" customHeight="1" x14ac:dyDescent="0.25">
      <c r="A130" s="144"/>
      <c r="B130" s="147"/>
      <c r="C130" s="24"/>
      <c r="D130" s="64"/>
      <c r="E130" s="65"/>
      <c r="F130" s="65"/>
      <c r="G130" s="53"/>
      <c r="J130" s="139"/>
      <c r="K130" s="139"/>
      <c r="L130" s="140"/>
      <c r="P130" s="24"/>
    </row>
    <row r="131" spans="1:16" s="18" customFormat="1" ht="42.75" customHeight="1" x14ac:dyDescent="0.25">
      <c r="A131" s="144"/>
      <c r="B131" s="147"/>
      <c r="C131" s="813" t="s">
        <v>768</v>
      </c>
      <c r="D131" s="812"/>
      <c r="E131" s="812"/>
      <c r="F131" s="812"/>
      <c r="G131" s="812"/>
      <c r="H131" s="812"/>
      <c r="I131" s="812"/>
      <c r="J131" s="139"/>
      <c r="K131" s="139"/>
      <c r="L131" s="140"/>
      <c r="P131" s="24"/>
    </row>
    <row r="132" spans="1:16" s="18" customFormat="1" ht="236.25" customHeight="1" x14ac:dyDescent="0.25">
      <c r="A132" s="144"/>
      <c r="B132" s="147"/>
      <c r="C132" s="24"/>
      <c r="D132" s="64"/>
      <c r="E132" s="65"/>
      <c r="F132" s="65"/>
      <c r="G132" s="53"/>
      <c r="J132" s="139"/>
      <c r="K132" s="139"/>
      <c r="L132" s="140"/>
      <c r="P132" s="24"/>
    </row>
    <row r="133" spans="1:16" s="18" customFormat="1" ht="6.75" customHeight="1" x14ac:dyDescent="0.25">
      <c r="A133" s="149"/>
      <c r="B133" s="147"/>
      <c r="C133" s="24"/>
      <c r="D133" s="64"/>
      <c r="E133" s="65"/>
      <c r="F133" s="65"/>
      <c r="G133" s="53"/>
      <c r="J133" s="139"/>
      <c r="K133" s="139"/>
      <c r="L133" s="140"/>
      <c r="P133" s="24"/>
    </row>
    <row r="134" spans="1:16" s="18" customFormat="1" ht="15" customHeight="1" x14ac:dyDescent="0.3">
      <c r="A134" s="207" t="s">
        <v>629</v>
      </c>
      <c r="B134" s="147"/>
      <c r="C134" s="24"/>
      <c r="D134" s="62"/>
      <c r="G134" s="330"/>
      <c r="H134" s="25"/>
      <c r="J134" s="139"/>
      <c r="K134" s="139"/>
      <c r="L134" s="140"/>
      <c r="P134" s="24"/>
    </row>
    <row r="135" spans="1:16" s="18" customFormat="1" ht="15" customHeight="1" x14ac:dyDescent="0.3">
      <c r="A135" s="207"/>
      <c r="B135" s="147"/>
      <c r="C135" s="24"/>
      <c r="D135" s="62"/>
      <c r="G135" s="330"/>
      <c r="H135" s="25"/>
      <c r="J135" s="139"/>
      <c r="K135" s="139"/>
      <c r="L135" s="140"/>
      <c r="P135" s="24"/>
    </row>
    <row r="136" spans="1:16" s="18" customFormat="1" ht="15" customHeight="1" x14ac:dyDescent="0.3">
      <c r="A136" s="207"/>
      <c r="B136" s="147"/>
      <c r="C136" s="24"/>
      <c r="E136" s="356" t="s">
        <v>631</v>
      </c>
      <c r="G136" s="330"/>
      <c r="H136" s="468" t="s">
        <v>633</v>
      </c>
      <c r="J136" s="139"/>
      <c r="K136" s="139"/>
      <c r="L136" s="140"/>
      <c r="P136" s="24"/>
    </row>
    <row r="137" spans="1:16" s="18" customFormat="1" ht="30.75" x14ac:dyDescent="0.3">
      <c r="A137" s="207"/>
      <c r="B137" s="147"/>
      <c r="C137" s="24"/>
      <c r="D137" s="466" t="s">
        <v>524</v>
      </c>
      <c r="E137" s="466" t="s">
        <v>302</v>
      </c>
      <c r="F137" s="466" t="s">
        <v>893</v>
      </c>
      <c r="G137" s="467"/>
      <c r="J137" s="139"/>
      <c r="K137" s="139"/>
      <c r="L137" s="140"/>
      <c r="P137" s="24"/>
    </row>
    <row r="138" spans="1:16" s="18" customFormat="1" ht="3.95" customHeight="1" x14ac:dyDescent="0.3">
      <c r="A138" s="207"/>
      <c r="B138" s="147"/>
      <c r="C138" s="24"/>
      <c r="D138" s="64"/>
      <c r="E138" s="65"/>
      <c r="F138" s="65"/>
      <c r="G138" s="53"/>
      <c r="J138" s="139"/>
      <c r="K138" s="139"/>
      <c r="L138" s="140"/>
      <c r="P138" s="24"/>
    </row>
    <row r="139" spans="1:16" s="18" customFormat="1" ht="30" customHeight="1" x14ac:dyDescent="0.25">
      <c r="A139" s="821" t="s">
        <v>20</v>
      </c>
      <c r="B139" s="822"/>
      <c r="C139" s="822"/>
      <c r="D139" s="465" t="s">
        <v>848</v>
      </c>
      <c r="E139" s="465" t="s">
        <v>630</v>
      </c>
      <c r="F139" s="465" t="s">
        <v>848</v>
      </c>
      <c r="G139" s="330"/>
      <c r="H139" s="251" t="s">
        <v>847</v>
      </c>
      <c r="J139" s="139"/>
      <c r="K139" s="139"/>
      <c r="L139" s="140"/>
      <c r="P139" s="24"/>
    </row>
    <row r="140" spans="1:16" s="18" customFormat="1" ht="3.95" customHeight="1" x14ac:dyDescent="0.25">
      <c r="A140" s="463"/>
      <c r="B140" s="464"/>
      <c r="C140" s="464"/>
      <c r="D140" s="250"/>
      <c r="E140" s="250"/>
      <c r="F140" s="250"/>
      <c r="G140" s="330"/>
      <c r="H140" s="251"/>
      <c r="J140" s="139"/>
      <c r="K140" s="139"/>
      <c r="L140" s="140"/>
      <c r="P140" s="24"/>
    </row>
    <row r="141" spans="1:16" s="297" customFormat="1" ht="15" customHeight="1" x14ac:dyDescent="0.25">
      <c r="A141" s="149"/>
      <c r="B141" s="147"/>
      <c r="C141" s="24"/>
      <c r="D141" s="64"/>
      <c r="E141" s="65"/>
      <c r="F141" s="65"/>
      <c r="G141" s="330"/>
      <c r="H141" s="18"/>
      <c r="I141" s="18"/>
      <c r="J141" s="48"/>
      <c r="K141" s="48"/>
      <c r="L141" s="319"/>
      <c r="M141" s="319"/>
      <c r="N141" s="319"/>
      <c r="O141" s="319"/>
    </row>
    <row r="142" spans="1:16" s="297" customFormat="1" ht="18.75" x14ac:dyDescent="0.3">
      <c r="A142" s="207" t="s">
        <v>455</v>
      </c>
      <c r="B142" s="147"/>
      <c r="C142" s="24"/>
      <c r="D142" s="64"/>
      <c r="E142" s="65"/>
      <c r="F142" s="65"/>
      <c r="G142" s="330"/>
      <c r="H142" s="18"/>
      <c r="I142" s="18"/>
      <c r="J142" s="48"/>
      <c r="K142" s="48"/>
      <c r="L142" s="319"/>
      <c r="M142" s="319"/>
      <c r="N142" s="319"/>
      <c r="O142" s="319"/>
    </row>
    <row r="143" spans="1:16" s="296" customFormat="1" ht="15" customHeight="1" x14ac:dyDescent="0.25">
      <c r="G143" s="253"/>
      <c r="J143" s="19"/>
      <c r="K143" s="19"/>
      <c r="L143" s="19"/>
      <c r="M143" s="19"/>
      <c r="N143" s="19"/>
      <c r="O143" s="19"/>
    </row>
    <row r="144" spans="1:16" s="296" customFormat="1" ht="15" customHeight="1" x14ac:dyDescent="0.25">
      <c r="A144" s="145" t="s">
        <v>787</v>
      </c>
      <c r="G144" s="253"/>
      <c r="J144" s="19"/>
      <c r="K144" s="19"/>
      <c r="L144" s="19"/>
      <c r="M144" s="19"/>
      <c r="N144" s="19"/>
      <c r="O144" s="19"/>
    </row>
    <row r="145" spans="1:15" s="296" customFormat="1" ht="15" customHeight="1" x14ac:dyDescent="0.25">
      <c r="A145" s="149"/>
      <c r="B145" s="147"/>
      <c r="C145" s="394"/>
      <c r="D145" s="411" t="s">
        <v>788</v>
      </c>
      <c r="E145" s="72" t="s">
        <v>789</v>
      </c>
      <c r="F145" s="72"/>
      <c r="G145" s="253"/>
      <c r="J145" s="19"/>
      <c r="K145" s="19"/>
      <c r="L145" s="19"/>
      <c r="M145" s="19"/>
      <c r="N145" s="19"/>
      <c r="O145" s="19"/>
    </row>
    <row r="146" spans="1:15" s="368" customFormat="1" ht="15" customHeight="1" x14ac:dyDescent="0.25">
      <c r="A146" s="149"/>
      <c r="B146" s="147"/>
      <c r="C146" s="394"/>
      <c r="D146" s="411">
        <v>0.6</v>
      </c>
      <c r="E146" s="72" t="s">
        <v>796</v>
      </c>
      <c r="F146" s="72"/>
      <c r="G146" s="253"/>
      <c r="J146" s="19"/>
      <c r="K146" s="19"/>
      <c r="L146" s="19"/>
      <c r="M146" s="19"/>
      <c r="N146" s="19"/>
      <c r="O146" s="19"/>
    </row>
    <row r="147" spans="1:15" s="296" customFormat="1" ht="30" customHeight="1" x14ac:dyDescent="0.25">
      <c r="D147" s="412" t="s">
        <v>790</v>
      </c>
      <c r="E147" s="833" t="s">
        <v>791</v>
      </c>
      <c r="F147" s="835"/>
      <c r="G147" s="835"/>
      <c r="H147" s="835"/>
      <c r="J147" s="19"/>
      <c r="K147" s="19"/>
      <c r="L147" s="19"/>
      <c r="M147" s="19"/>
      <c r="N147" s="19"/>
      <c r="O147" s="19"/>
    </row>
    <row r="148" spans="1:15" s="296" customFormat="1" ht="15" customHeight="1" x14ac:dyDescent="0.25">
      <c r="G148" s="253"/>
      <c r="J148" s="19"/>
      <c r="K148" s="19"/>
      <c r="L148" s="19"/>
      <c r="M148" s="19"/>
      <c r="N148" s="19"/>
      <c r="O148" s="19"/>
    </row>
    <row r="149" spans="1:15" s="296" customFormat="1" ht="15" customHeight="1" x14ac:dyDescent="0.25">
      <c r="A149" s="145" t="s">
        <v>792</v>
      </c>
      <c r="G149" s="253"/>
      <c r="J149" s="19"/>
      <c r="K149" s="19"/>
      <c r="L149" s="19"/>
      <c r="M149" s="19"/>
      <c r="N149" s="19"/>
      <c r="O149" s="19"/>
    </row>
    <row r="150" spans="1:15" s="296" customFormat="1" ht="15" customHeight="1" x14ac:dyDescent="0.25">
      <c r="C150" s="394" t="s">
        <v>735</v>
      </c>
      <c r="D150" s="414">
        <v>-5</v>
      </c>
      <c r="E150" s="71" t="s">
        <v>61</v>
      </c>
      <c r="F150" s="833" t="s">
        <v>795</v>
      </c>
      <c r="G150" s="835"/>
      <c r="H150" s="835"/>
      <c r="J150" s="19"/>
      <c r="K150" s="19"/>
      <c r="L150" s="19"/>
      <c r="M150" s="19"/>
      <c r="N150" s="19"/>
      <c r="O150" s="19"/>
    </row>
    <row r="151" spans="1:15" s="296" customFormat="1" ht="15" customHeight="1" x14ac:dyDescent="0.25">
      <c r="C151" s="395" t="s">
        <v>736</v>
      </c>
      <c r="D151" s="414">
        <v>-3</v>
      </c>
      <c r="E151" s="71" t="s">
        <v>61</v>
      </c>
      <c r="F151" s="835"/>
      <c r="G151" s="835"/>
      <c r="H151" s="835"/>
      <c r="J151" s="19"/>
      <c r="K151" s="19"/>
      <c r="L151" s="19"/>
      <c r="M151" s="19"/>
      <c r="N151" s="19"/>
      <c r="O151" s="19"/>
    </row>
    <row r="152" spans="1:15" s="296" customFormat="1" ht="15" customHeight="1" x14ac:dyDescent="0.25">
      <c r="C152" s="395" t="s">
        <v>737</v>
      </c>
      <c r="D152" s="414">
        <v>-10</v>
      </c>
      <c r="E152" s="71" t="s">
        <v>61</v>
      </c>
      <c r="F152" s="65"/>
      <c r="G152" s="253"/>
      <c r="J152" s="19"/>
      <c r="K152" s="19"/>
      <c r="L152" s="19"/>
      <c r="M152" s="19"/>
      <c r="N152" s="19"/>
      <c r="O152" s="19"/>
    </row>
    <row r="153" spans="1:15" s="368" customFormat="1" ht="15" customHeight="1" x14ac:dyDescent="0.25">
      <c r="C153" s="395"/>
      <c r="D153" s="71"/>
      <c r="E153" s="71"/>
      <c r="F153" s="65"/>
      <c r="G153" s="253"/>
      <c r="J153" s="19"/>
      <c r="K153" s="19"/>
      <c r="L153" s="19"/>
      <c r="M153" s="19"/>
      <c r="N153" s="19"/>
      <c r="O153" s="19"/>
    </row>
    <row r="154" spans="1:15" s="368" customFormat="1" ht="15" customHeight="1" x14ac:dyDescent="0.25">
      <c r="A154" s="145" t="s">
        <v>797</v>
      </c>
      <c r="C154" s="395"/>
      <c r="D154" s="71"/>
      <c r="E154" s="71"/>
      <c r="F154" s="65"/>
      <c r="G154" s="253"/>
      <c r="J154" s="19"/>
      <c r="K154" s="19"/>
      <c r="L154" s="19"/>
      <c r="M154" s="19"/>
      <c r="N154" s="19"/>
      <c r="O154" s="19"/>
    </row>
    <row r="155" spans="1:15" s="368" customFormat="1" ht="15" customHeight="1" x14ac:dyDescent="0.25">
      <c r="C155" s="395" t="s">
        <v>799</v>
      </c>
      <c r="D155" s="72"/>
      <c r="F155" s="72" t="s">
        <v>801</v>
      </c>
      <c r="G155" s="253"/>
      <c r="J155" s="19"/>
      <c r="K155" s="19"/>
      <c r="L155" s="19"/>
      <c r="M155" s="19"/>
      <c r="N155" s="19"/>
      <c r="O155" s="19"/>
    </row>
    <row r="156" spans="1:15" s="368" customFormat="1" ht="15" customHeight="1" x14ac:dyDescent="0.25">
      <c r="C156" s="395" t="s">
        <v>800</v>
      </c>
      <c r="D156" s="861" t="s">
        <v>758</v>
      </c>
      <c r="E156" s="863"/>
      <c r="F156" s="72" t="s">
        <v>802</v>
      </c>
      <c r="G156" s="253"/>
      <c r="J156" s="19"/>
      <c r="K156" s="19"/>
      <c r="L156" s="19"/>
      <c r="M156" s="19"/>
      <c r="N156" s="19"/>
      <c r="O156" s="19"/>
    </row>
    <row r="157" spans="1:15" s="297" customFormat="1" x14ac:dyDescent="0.25">
      <c r="A157" s="147"/>
      <c r="B157" s="147"/>
      <c r="C157" s="18"/>
      <c r="D157" s="296"/>
      <c r="E157" s="296"/>
      <c r="F157" s="296"/>
      <c r="G157" s="330"/>
      <c r="H157" s="21"/>
      <c r="I157" s="296"/>
      <c r="J157" s="48"/>
      <c r="K157" s="48"/>
      <c r="L157" s="319"/>
      <c r="M157" s="319"/>
      <c r="N157" s="319"/>
      <c r="O157" s="319"/>
    </row>
    <row r="158" spans="1:15" hidden="1" x14ac:dyDescent="0.25">
      <c r="A158" s="413" t="s">
        <v>57</v>
      </c>
      <c r="H158" s="32"/>
    </row>
    <row r="159" spans="1:15" hidden="1" x14ac:dyDescent="0.25">
      <c r="C159" s="43" t="s">
        <v>10</v>
      </c>
      <c r="D159" s="44"/>
      <c r="E159" s="453" t="s">
        <v>871</v>
      </c>
      <c r="F159" s="44"/>
      <c r="G159" s="454" t="s">
        <v>872</v>
      </c>
      <c r="J159" s="93" t="s">
        <v>873</v>
      </c>
      <c r="K159" s="19"/>
    </row>
    <row r="160" spans="1:15" hidden="1" x14ac:dyDescent="0.25">
      <c r="C160" s="44">
        <v>0</v>
      </c>
      <c r="D160" s="46">
        <f>((100-D$28)/100)^C160</f>
        <v>1</v>
      </c>
      <c r="E160" s="452">
        <f>D160*E189</f>
        <v>1</v>
      </c>
      <c r="F160" s="46"/>
      <c r="G160" s="455">
        <f>D160*G189</f>
        <v>1</v>
      </c>
      <c r="J160" s="456">
        <f>D160*J189</f>
        <v>11142.876947160845</v>
      </c>
      <c r="K160" s="19"/>
    </row>
    <row r="161" spans="1:11" hidden="1" x14ac:dyDescent="0.25">
      <c r="C161" s="44">
        <f t="shared" ref="C161:C185" si="6">C160+1</f>
        <v>1</v>
      </c>
      <c r="D161" s="46">
        <f t="shared" ref="D161:D185" si="7">1/((100+D$28)/100)^C161</f>
        <v>0.96153846153846145</v>
      </c>
      <c r="E161" s="452">
        <f t="shared" ref="E161:E185" si="8">D161*E190</f>
        <v>0.99038461538461531</v>
      </c>
      <c r="F161" s="46"/>
      <c r="G161" s="455">
        <f t="shared" ref="G161:G185" si="9">D161*G190</f>
        <v>1.0576923076923077</v>
      </c>
      <c r="J161" s="456">
        <f t="shared" ref="J161:J185" si="10">D161*J190</f>
        <v>1.0572367346639577</v>
      </c>
      <c r="K161" s="19"/>
    </row>
    <row r="162" spans="1:11" hidden="1" x14ac:dyDescent="0.25">
      <c r="C162" s="44">
        <f t="shared" si="6"/>
        <v>2</v>
      </c>
      <c r="D162" s="46">
        <f t="shared" si="7"/>
        <v>0.92455621301775137</v>
      </c>
      <c r="E162" s="452">
        <f t="shared" si="8"/>
        <v>0.98086168639053239</v>
      </c>
      <c r="F162" s="46"/>
      <c r="G162" s="455">
        <f t="shared" si="9"/>
        <v>1.1187130177514792</v>
      </c>
      <c r="J162" s="456">
        <f t="shared" si="10"/>
        <v>1.1187301335405129</v>
      </c>
      <c r="K162" s="19"/>
    </row>
    <row r="163" spans="1:11" hidden="1" x14ac:dyDescent="0.25">
      <c r="C163" s="44">
        <f t="shared" si="6"/>
        <v>3</v>
      </c>
      <c r="D163" s="46">
        <f t="shared" si="7"/>
        <v>0.88899635867091487</v>
      </c>
      <c r="E163" s="452">
        <f t="shared" si="8"/>
        <v>0.97143032402139284</v>
      </c>
      <c r="F163" s="46"/>
      <c r="G163" s="455">
        <f t="shared" si="9"/>
        <v>1.1832541533909879</v>
      </c>
      <c r="J163" s="456">
        <f t="shared" si="10"/>
        <v>1.1849770168336671</v>
      </c>
      <c r="K163" s="19"/>
    </row>
    <row r="164" spans="1:11" hidden="1" x14ac:dyDescent="0.25">
      <c r="A164" s="33"/>
      <c r="B164" s="19"/>
      <c r="C164" s="44">
        <f t="shared" si="6"/>
        <v>4</v>
      </c>
      <c r="D164" s="46">
        <f t="shared" si="7"/>
        <v>0.85480419102972571</v>
      </c>
      <c r="E164" s="452">
        <f t="shared" si="8"/>
        <v>0.96208964782887918</v>
      </c>
      <c r="F164" s="46"/>
      <c r="G164" s="455">
        <f t="shared" si="9"/>
        <v>1.2515188160866217</v>
      </c>
      <c r="J164" s="456">
        <f t="shared" si="10"/>
        <v>1.2565605096079575</v>
      </c>
      <c r="K164" s="19"/>
    </row>
    <row r="165" spans="1:11" hidden="1" x14ac:dyDescent="0.25">
      <c r="A165" s="33"/>
      <c r="B165" s="19"/>
      <c r="C165" s="44">
        <f t="shared" si="6"/>
        <v>5</v>
      </c>
      <c r="D165" s="46">
        <f t="shared" si="7"/>
        <v>0.82192710675935154</v>
      </c>
      <c r="E165" s="452">
        <f t="shared" si="8"/>
        <v>0.95283878583052439</v>
      </c>
      <c r="F165" s="46"/>
      <c r="G165" s="455">
        <f t="shared" si="9"/>
        <v>1.3237218247070037</v>
      </c>
      <c r="J165" s="456">
        <f t="shared" si="10"/>
        <v>1.3341688534399279</v>
      </c>
      <c r="K165" s="19"/>
    </row>
    <row r="166" spans="1:11" hidden="1" x14ac:dyDescent="0.25">
      <c r="A166" s="33"/>
      <c r="B166" s="19"/>
      <c r="C166" s="44">
        <f t="shared" si="6"/>
        <v>6</v>
      </c>
      <c r="D166" s="46">
        <f t="shared" si="7"/>
        <v>0.79031452573014571</v>
      </c>
      <c r="E166" s="452">
        <f t="shared" si="8"/>
        <v>0.94367687442830783</v>
      </c>
      <c r="F166" s="46"/>
      <c r="G166" s="455">
        <f t="shared" si="9"/>
        <v>1.4000903915170233</v>
      </c>
      <c r="J166" s="456">
        <f t="shared" si="10"/>
        <v>1.4186189921592613</v>
      </c>
      <c r="K166" s="19"/>
    </row>
    <row r="167" spans="1:11" hidden="1" x14ac:dyDescent="0.25">
      <c r="A167" s="33"/>
      <c r="B167" s="19"/>
      <c r="C167" s="44">
        <f t="shared" si="6"/>
        <v>7</v>
      </c>
      <c r="D167" s="46">
        <f t="shared" si="7"/>
        <v>0.75991781320206331</v>
      </c>
      <c r="E167" s="452">
        <f t="shared" si="8"/>
        <v>0.93460305832803592</v>
      </c>
      <c r="F167" s="46"/>
      <c r="G167" s="455">
        <f t="shared" si="9"/>
        <v>1.4808648371814674</v>
      </c>
      <c r="J167" s="456">
        <f t="shared" si="10"/>
        <v>1.5108863284796454</v>
      </c>
      <c r="K167" s="19"/>
    </row>
    <row r="168" spans="1:11" hidden="1" x14ac:dyDescent="0.25">
      <c r="A168" s="33"/>
      <c r="B168" s="19"/>
      <c r="C168" s="44">
        <f t="shared" si="6"/>
        <v>8</v>
      </c>
      <c r="D168" s="46">
        <f t="shared" si="7"/>
        <v>0.73069020500198378</v>
      </c>
      <c r="E168" s="452">
        <f t="shared" si="8"/>
        <v>0.92561649045949679</v>
      </c>
      <c r="F168" s="46"/>
      <c r="G168" s="455">
        <f t="shared" si="9"/>
        <v>1.5662993470188593</v>
      </c>
      <c r="J168" s="456">
        <f t="shared" si="10"/>
        <v>1.6121425186069169</v>
      </c>
      <c r="K168" s="19"/>
    </row>
    <row r="169" spans="1:11" hidden="1" x14ac:dyDescent="0.25">
      <c r="A169" s="33"/>
      <c r="B169" s="19"/>
      <c r="C169" s="44">
        <f t="shared" si="6"/>
        <v>9</v>
      </c>
      <c r="D169" s="46">
        <f t="shared" si="7"/>
        <v>0.70258673557883045</v>
      </c>
      <c r="E169" s="452">
        <f t="shared" si="8"/>
        <v>0.91671633189738611</v>
      </c>
      <c r="F169" s="46"/>
      <c r="G169" s="455">
        <f t="shared" si="9"/>
        <v>1.6566627708853319</v>
      </c>
      <c r="J169" s="456">
        <f t="shared" si="10"/>
        <v>1.7238038226805761</v>
      </c>
      <c r="K169" s="19"/>
    </row>
    <row r="170" spans="1:11" hidden="1" x14ac:dyDescent="0.25">
      <c r="A170" s="33"/>
      <c r="B170" s="19"/>
      <c r="C170" s="44">
        <f t="shared" si="6"/>
        <v>10</v>
      </c>
      <c r="D170" s="459">
        <f t="shared" si="7"/>
        <v>0.67556416882579851</v>
      </c>
      <c r="E170" s="452">
        <f t="shared" si="8"/>
        <v>0.90790175178298815</v>
      </c>
      <c r="F170" s="46"/>
      <c r="G170" s="455">
        <f t="shared" si="9"/>
        <v>1.7522394692056396</v>
      </c>
      <c r="J170" s="456">
        <f t="shared" si="10"/>
        <v>1.8475934381362438</v>
      </c>
      <c r="K170" s="19"/>
    </row>
    <row r="171" spans="1:11" hidden="1" x14ac:dyDescent="0.25">
      <c r="A171" s="33"/>
      <c r="B171" s="19"/>
      <c r="C171" s="44">
        <f t="shared" si="6"/>
        <v>11</v>
      </c>
      <c r="D171" s="46">
        <f t="shared" si="7"/>
        <v>0.6495809315632679</v>
      </c>
      <c r="E171" s="452">
        <f t="shared" si="8"/>
        <v>0.89917192724661343</v>
      </c>
      <c r="F171" s="46"/>
      <c r="G171" s="455">
        <f t="shared" si="9"/>
        <v>1.8533302078136578</v>
      </c>
      <c r="J171" s="456">
        <f t="shared" si="10"/>
        <v>1.9856225263309017</v>
      </c>
      <c r="K171" s="19"/>
    </row>
    <row r="172" spans="1:11" hidden="1" x14ac:dyDescent="0.25">
      <c r="A172" s="33"/>
      <c r="B172" s="19"/>
      <c r="C172" s="44">
        <f t="shared" si="6"/>
        <v>12</v>
      </c>
      <c r="D172" s="46">
        <f t="shared" si="7"/>
        <v>0.62459704958006512</v>
      </c>
      <c r="E172" s="452">
        <f t="shared" si="8"/>
        <v>0.89052604333078023</v>
      </c>
      <c r="F172" s="46"/>
      <c r="G172" s="455">
        <f t="shared" si="9"/>
        <v>1.9602531044182914</v>
      </c>
      <c r="J172" s="456">
        <f t="shared" si="10"/>
        <v>2.1404964732545295</v>
      </c>
      <c r="K172" s="19"/>
    </row>
    <row r="173" spans="1:11" hidden="1" x14ac:dyDescent="0.25">
      <c r="A173" s="33"/>
      <c r="B173" s="19"/>
      <c r="C173" s="44">
        <f t="shared" si="6"/>
        <v>13</v>
      </c>
      <c r="D173" s="46">
        <f t="shared" si="7"/>
        <v>0.600574086134678</v>
      </c>
      <c r="E173" s="452">
        <f t="shared" si="8"/>
        <v>0.88196329291413811</v>
      </c>
      <c r="F173" s="46"/>
      <c r="G173" s="455">
        <f t="shared" si="9"/>
        <v>2.0733446296731928</v>
      </c>
      <c r="J173" s="456">
        <f t="shared" si="10"/>
        <v>2.3154555656040876</v>
      </c>
      <c r="K173" s="19"/>
    </row>
    <row r="174" spans="1:11" hidden="1" x14ac:dyDescent="0.25">
      <c r="A174" s="33"/>
      <c r="B174" s="19"/>
      <c r="C174" s="44">
        <f t="shared" si="6"/>
        <v>14</v>
      </c>
      <c r="D174" s="46">
        <f t="shared" si="7"/>
        <v>0.57747508282180582</v>
      </c>
      <c r="E174" s="452">
        <f t="shared" si="8"/>
        <v>0.87348287663611768</v>
      </c>
      <c r="F174" s="46"/>
      <c r="G174" s="455">
        <f t="shared" si="9"/>
        <v>2.1929606660004928</v>
      </c>
      <c r="J174" s="456">
        <f t="shared" si="10"/>
        <v>2.5145631175667944</v>
      </c>
      <c r="K174" s="19"/>
    </row>
    <row r="175" spans="1:11" hidden="1" x14ac:dyDescent="0.25">
      <c r="A175" s="33"/>
      <c r="B175" s="19"/>
      <c r="C175" s="44">
        <f t="shared" si="6"/>
        <v>15</v>
      </c>
      <c r="D175" s="46">
        <f t="shared" si="7"/>
        <v>0.55526450271327477</v>
      </c>
      <c r="E175" s="452">
        <f t="shared" si="8"/>
        <v>0.8650840028223088</v>
      </c>
      <c r="F175" s="46"/>
      <c r="G175" s="455">
        <f t="shared" si="9"/>
        <v>2.3194776275005213</v>
      </c>
      <c r="J175" s="456">
        <f t="shared" si="10"/>
        <v>2.7429597798339747</v>
      </c>
      <c r="K175" s="19"/>
    </row>
    <row r="176" spans="1:11" hidden="1" x14ac:dyDescent="0.25">
      <c r="A176" s="33"/>
      <c r="B176" s="19"/>
      <c r="C176" s="44">
        <f t="shared" si="6"/>
        <v>16</v>
      </c>
      <c r="D176" s="46">
        <f t="shared" si="7"/>
        <v>0.53390817568584104</v>
      </c>
      <c r="E176" s="452">
        <f t="shared" si="8"/>
        <v>0.85676588741055559</v>
      </c>
      <c r="F176" s="46"/>
      <c r="G176" s="455">
        <f t="shared" si="9"/>
        <v>2.4532936444717048</v>
      </c>
      <c r="J176" s="456">
        <f t="shared" si="10"/>
        <v>3.0072112931509096</v>
      </c>
      <c r="K176" s="19"/>
    </row>
    <row r="177" spans="1:15" hidden="1" x14ac:dyDescent="0.25">
      <c r="A177" s="33"/>
      <c r="B177" s="19"/>
      <c r="C177" s="44">
        <f t="shared" si="6"/>
        <v>17</v>
      </c>
      <c r="D177" s="46">
        <f t="shared" si="7"/>
        <v>0.51337324585177024</v>
      </c>
      <c r="E177" s="452">
        <f t="shared" si="8"/>
        <v>0.8485277538777618</v>
      </c>
      <c r="F177" s="46"/>
      <c r="G177" s="455">
        <f t="shared" si="9"/>
        <v>2.5948298162681493</v>
      </c>
      <c r="J177" s="456">
        <f t="shared" si="10"/>
        <v>3.3157899051579327</v>
      </c>
      <c r="K177" s="19"/>
    </row>
    <row r="178" spans="1:15" hidden="1" x14ac:dyDescent="0.25">
      <c r="A178" s="33"/>
      <c r="B178" s="19"/>
      <c r="C178" s="44">
        <f t="shared" si="6"/>
        <v>18</v>
      </c>
      <c r="D178" s="46">
        <f t="shared" si="7"/>
        <v>0.49362812101131748</v>
      </c>
      <c r="E178" s="452">
        <f t="shared" si="8"/>
        <v>0.84036883316739863</v>
      </c>
      <c r="F178" s="46"/>
      <c r="G178" s="455">
        <f t="shared" si="9"/>
        <v>2.7445315364374654</v>
      </c>
      <c r="J178" s="456">
        <f t="shared" si="10"/>
        <v>3.6797496428091052</v>
      </c>
      <c r="K178" s="19"/>
    </row>
    <row r="179" spans="1:15" hidden="1" x14ac:dyDescent="0.25">
      <c r="A179" s="33"/>
      <c r="B179" s="19"/>
      <c r="C179" s="44">
        <f t="shared" si="6"/>
        <v>19</v>
      </c>
      <c r="D179" s="46">
        <f t="shared" si="7"/>
        <v>0.47464242404934376</v>
      </c>
      <c r="E179" s="452">
        <f t="shared" si="8"/>
        <v>0.83228836361771208</v>
      </c>
      <c r="F179" s="46"/>
      <c r="G179" s="455">
        <f t="shared" si="9"/>
        <v>2.9028698943088589</v>
      </c>
      <c r="J179" s="456">
        <f t="shared" si="10"/>
        <v>4.113686915768259</v>
      </c>
      <c r="K179" s="19"/>
    </row>
    <row r="180" spans="1:15" hidden="1" x14ac:dyDescent="0.25">
      <c r="A180" s="33"/>
      <c r="B180" s="19"/>
      <c r="C180" s="44">
        <f t="shared" si="6"/>
        <v>20</v>
      </c>
      <c r="D180" s="46">
        <f t="shared" si="7"/>
        <v>0.45638694620129205</v>
      </c>
      <c r="E180" s="452">
        <f t="shared" si="8"/>
        <v>0.8242855908906187</v>
      </c>
      <c r="F180" s="46"/>
      <c r="G180" s="455">
        <f t="shared" si="9"/>
        <v>3.0703431574420619</v>
      </c>
      <c r="J180" s="456">
        <f t="shared" si="10"/>
        <v>4.6371277576045475</v>
      </c>
      <c r="K180" s="19"/>
    </row>
    <row r="181" spans="1:15" hidden="1" x14ac:dyDescent="0.25">
      <c r="A181" s="33"/>
      <c r="B181" s="19"/>
      <c r="C181" s="44">
        <f t="shared" si="6"/>
        <v>21</v>
      </c>
      <c r="D181" s="46">
        <f t="shared" si="7"/>
        <v>0.43883360211662686</v>
      </c>
      <c r="E181" s="452">
        <f t="shared" si="8"/>
        <v>0.8163597679012855</v>
      </c>
      <c r="F181" s="46"/>
      <c r="G181" s="455">
        <f t="shared" si="9"/>
        <v>3.2474783396021802</v>
      </c>
      <c r="J181" s="456">
        <f t="shared" si="10"/>
        <v>5.2765638332891509</v>
      </c>
      <c r="K181" s="19"/>
    </row>
    <row r="182" spans="1:15" hidden="1" x14ac:dyDescent="0.25">
      <c r="A182" s="33"/>
      <c r="B182" s="19"/>
      <c r="C182" s="44">
        <f t="shared" si="6"/>
        <v>22</v>
      </c>
      <c r="D182" s="46">
        <f t="shared" si="7"/>
        <v>0.42195538665060278</v>
      </c>
      <c r="E182" s="452">
        <f t="shared" si="8"/>
        <v>0.80851015474838861</v>
      </c>
      <c r="F182" s="46"/>
      <c r="G182" s="455">
        <f t="shared" si="9"/>
        <v>3.4348328591946142</v>
      </c>
      <c r="J182" s="456">
        <f t="shared" si="10"/>
        <v>6.0684929772209095</v>
      </c>
      <c r="K182" s="19"/>
    </row>
    <row r="183" spans="1:15" hidden="1" x14ac:dyDescent="0.25">
      <c r="A183" s="33"/>
      <c r="B183" s="19"/>
      <c r="C183" s="44">
        <f t="shared" si="6"/>
        <v>23</v>
      </c>
      <c r="D183" s="46">
        <f t="shared" si="7"/>
        <v>0.40572633331788732</v>
      </c>
      <c r="E183" s="452">
        <f t="shared" si="8"/>
        <v>0.80073601864503885</v>
      </c>
      <c r="F183" s="46"/>
      <c r="G183" s="455">
        <f t="shared" si="9"/>
        <v>3.6329962933789197</v>
      </c>
      <c r="J183" s="456">
        <f t="shared" si="10"/>
        <v>7.0640455938686042</v>
      </c>
      <c r="K183" s="19"/>
    </row>
    <row r="184" spans="1:15" hidden="1" x14ac:dyDescent="0.25">
      <c r="A184" s="33"/>
      <c r="B184" s="19"/>
      <c r="C184" s="44">
        <f t="shared" si="6"/>
        <v>24</v>
      </c>
      <c r="D184" s="46">
        <f t="shared" si="7"/>
        <v>0.39012147434412242</v>
      </c>
      <c r="E184" s="452">
        <f t="shared" si="8"/>
        <v>0.79303663385037493</v>
      </c>
      <c r="F184" s="46"/>
      <c r="G184" s="455">
        <f t="shared" si="9"/>
        <v>3.842592233381549</v>
      </c>
      <c r="J184" s="456">
        <f t="shared" si="10"/>
        <v>8.3361675122117411</v>
      </c>
      <c r="K184" s="19"/>
    </row>
    <row r="185" spans="1:15" hidden="1" x14ac:dyDescent="0.25">
      <c r="A185" s="33"/>
      <c r="B185" s="19"/>
      <c r="C185" s="44">
        <f t="shared" si="6"/>
        <v>25</v>
      </c>
      <c r="D185" s="46">
        <f t="shared" si="7"/>
        <v>0.37511680225396377</v>
      </c>
      <c r="E185" s="452">
        <f t="shared" si="8"/>
        <v>0.78541128160181339</v>
      </c>
      <c r="F185" s="46"/>
      <c r="G185" s="455">
        <f t="shared" si="9"/>
        <v>4.0642802468458692</v>
      </c>
      <c r="J185" s="456">
        <f t="shared" si="10"/>
        <v>9.9910177741552157</v>
      </c>
      <c r="K185" s="19"/>
    </row>
    <row r="186" spans="1:15" hidden="1" x14ac:dyDescent="0.25">
      <c r="A186" s="33"/>
      <c r="B186" s="19"/>
      <c r="G186" s="334"/>
      <c r="H186" s="32"/>
    </row>
    <row r="187" spans="1:15" s="322" customFormat="1" hidden="1" x14ac:dyDescent="0.25">
      <c r="A187" s="352"/>
      <c r="B187" s="352"/>
      <c r="C187" s="344"/>
      <c r="D187" s="344"/>
      <c r="E187" s="343"/>
      <c r="F187" s="344"/>
      <c r="G187" s="349"/>
      <c r="H187" s="343"/>
      <c r="I187" s="344"/>
      <c r="J187" s="350"/>
      <c r="K187" s="351">
        <v>9</v>
      </c>
      <c r="L187" s="351">
        <v>10</v>
      </c>
      <c r="M187" s="351">
        <v>11</v>
      </c>
    </row>
    <row r="188" spans="1:15" s="322" customFormat="1" hidden="1" x14ac:dyDescent="0.25">
      <c r="A188" s="352"/>
      <c r="B188" s="352"/>
      <c r="C188" s="341" t="s">
        <v>49</v>
      </c>
      <c r="D188" s="342" t="s">
        <v>47</v>
      </c>
      <c r="E188" s="444" t="s">
        <v>51</v>
      </c>
      <c r="F188" s="345" t="s">
        <v>4</v>
      </c>
      <c r="G188" s="450" t="s">
        <v>600</v>
      </c>
      <c r="H188" s="348" t="s">
        <v>545</v>
      </c>
      <c r="J188" s="437" t="s">
        <v>578</v>
      </c>
      <c r="K188" s="438" t="s">
        <v>599</v>
      </c>
      <c r="L188" s="441" t="s">
        <v>602</v>
      </c>
      <c r="M188" s="447" t="s">
        <v>603</v>
      </c>
    </row>
    <row r="189" spans="1:15" s="322" customFormat="1" hidden="1" x14ac:dyDescent="0.25">
      <c r="A189" s="352"/>
      <c r="B189" s="352"/>
      <c r="C189" s="341"/>
      <c r="D189" s="321">
        <v>0</v>
      </c>
      <c r="E189" s="445">
        <f t="shared" ref="E189:E214" si="11">((100+$D$52)/100)^C160</f>
        <v>1</v>
      </c>
      <c r="F189" s="346">
        <f>E189*D$42</f>
        <v>5000</v>
      </c>
      <c r="G189" s="451">
        <f>((100+$D$53)/100)^C160</f>
        <v>1</v>
      </c>
      <c r="H189" s="324">
        <f t="shared" ref="H189:H214" si="12">G189*D$41</f>
        <v>500</v>
      </c>
      <c r="J189" s="439">
        <f>EXP(LN(F189)*L$42+LN(H189)*L$38+F189*H189*L$43)</f>
        <v>11142.876947160845</v>
      </c>
      <c r="K189" s="440">
        <v>1</v>
      </c>
      <c r="L189" s="442">
        <v>1</v>
      </c>
      <c r="M189" s="448">
        <v>1</v>
      </c>
      <c r="N189" s="346"/>
    </row>
    <row r="190" spans="1:15" s="322" customFormat="1" hidden="1" x14ac:dyDescent="0.25">
      <c r="A190" s="352"/>
      <c r="B190" s="352"/>
      <c r="C190" s="357">
        <f>SUM(D$161:D161)</f>
        <v>0.96153846153846145</v>
      </c>
      <c r="D190" s="341">
        <v>1</v>
      </c>
      <c r="E190" s="445">
        <f t="shared" si="11"/>
        <v>1.03</v>
      </c>
      <c r="F190" s="346">
        <f t="shared" ref="F190:F214" si="13">E190*D$42</f>
        <v>5150</v>
      </c>
      <c r="G190" s="451">
        <f t="shared" ref="G190:G214" si="14">((100+$D$53)/100)^C161</f>
        <v>1.1000000000000001</v>
      </c>
      <c r="H190" s="324">
        <f t="shared" si="12"/>
        <v>550</v>
      </c>
      <c r="J190" s="439">
        <f t="shared" ref="J190:J214" si="15">EXP(LN(F190)*L$42+LN(H190)*L$38+F190*H190*L$43)/J$189</f>
        <v>1.099526204050516</v>
      </c>
      <c r="K190" s="440">
        <f>SUM(I$161:J161)</f>
        <v>1.0572367346639577</v>
      </c>
      <c r="L190" s="443">
        <f>SUM(E$161:E161)</f>
        <v>0.99038461538461531</v>
      </c>
      <c r="M190" s="449">
        <f>SUM(G$161:G161)</f>
        <v>1.0576923076923077</v>
      </c>
      <c r="N190" s="346"/>
      <c r="O190" s="347"/>
    </row>
    <row r="191" spans="1:15" s="322" customFormat="1" hidden="1" x14ac:dyDescent="0.25">
      <c r="A191" s="352"/>
      <c r="B191" s="352"/>
      <c r="C191" s="357">
        <f>SUM(D$161:D162)</f>
        <v>1.8860946745562128</v>
      </c>
      <c r="D191" s="341">
        <f t="shared" ref="D191:D214" si="16">D190+1</f>
        <v>2</v>
      </c>
      <c r="E191" s="445">
        <f t="shared" si="11"/>
        <v>1.0609</v>
      </c>
      <c r="F191" s="346">
        <f t="shared" si="13"/>
        <v>5304.5</v>
      </c>
      <c r="G191" s="451">
        <f t="shared" si="14"/>
        <v>1.2100000000000002</v>
      </c>
      <c r="H191" s="324">
        <f t="shared" si="12"/>
        <v>605.00000000000011</v>
      </c>
      <c r="J191" s="439">
        <f t="shared" si="15"/>
        <v>1.210018512437419</v>
      </c>
      <c r="K191" s="440">
        <f>SUM(I$161:J162)</f>
        <v>2.1759668682044708</v>
      </c>
      <c r="L191" s="443">
        <f>SUM(E$161:E162)</f>
        <v>1.9712463017751478</v>
      </c>
      <c r="M191" s="449">
        <f>SUM(G$161:G162)</f>
        <v>2.176405325443787</v>
      </c>
      <c r="N191" s="346"/>
      <c r="O191" s="347"/>
    </row>
    <row r="192" spans="1:15" s="322" customFormat="1" hidden="1" x14ac:dyDescent="0.25">
      <c r="A192" s="352"/>
      <c r="B192" s="352"/>
      <c r="C192" s="357">
        <f>SUM(D$161:D163)</f>
        <v>2.7750910332271275</v>
      </c>
      <c r="D192" s="341">
        <f t="shared" si="16"/>
        <v>3</v>
      </c>
      <c r="E192" s="445">
        <f t="shared" si="11"/>
        <v>1.092727</v>
      </c>
      <c r="F192" s="346">
        <f t="shared" si="13"/>
        <v>5463.6350000000002</v>
      </c>
      <c r="G192" s="451">
        <f t="shared" si="14"/>
        <v>1.3310000000000004</v>
      </c>
      <c r="H192" s="324">
        <f t="shared" si="12"/>
        <v>665.50000000000023</v>
      </c>
      <c r="J192" s="439">
        <f t="shared" si="15"/>
        <v>1.332937987063586</v>
      </c>
      <c r="K192" s="440">
        <f>SUM(I$161:J163)</f>
        <v>3.3609438850381377</v>
      </c>
      <c r="L192" s="443">
        <f>SUM(E$161:E163)</f>
        <v>2.9426766257965404</v>
      </c>
      <c r="M192" s="449">
        <f>SUM(G$161:G163)</f>
        <v>3.3596594788347751</v>
      </c>
      <c r="N192" s="346"/>
      <c r="O192" s="347"/>
    </row>
    <row r="193" spans="1:16" s="322" customFormat="1" hidden="1" x14ac:dyDescent="0.25">
      <c r="A193" s="352"/>
      <c r="B193" s="352"/>
      <c r="C193" s="357">
        <f>SUM(D$161:D164)</f>
        <v>3.6298952242568534</v>
      </c>
      <c r="D193" s="341">
        <f t="shared" si="16"/>
        <v>4</v>
      </c>
      <c r="E193" s="445">
        <f t="shared" si="11"/>
        <v>1.1255088099999999</v>
      </c>
      <c r="F193" s="346">
        <f t="shared" si="13"/>
        <v>5627.5440499999995</v>
      </c>
      <c r="G193" s="451">
        <f t="shared" si="14"/>
        <v>1.4641000000000004</v>
      </c>
      <c r="H193" s="324">
        <f t="shared" si="12"/>
        <v>732.05000000000018</v>
      </c>
      <c r="J193" s="439">
        <f t="shared" si="15"/>
        <v>1.4699980683228315</v>
      </c>
      <c r="K193" s="440">
        <f>SUM(I$161:J164)</f>
        <v>4.6175043946460956</v>
      </c>
      <c r="L193" s="443">
        <f>SUM(E$161:E164)</f>
        <v>3.9047662736254196</v>
      </c>
      <c r="M193" s="449">
        <f>SUM(G$161:G164)</f>
        <v>4.6111782949213964</v>
      </c>
      <c r="N193" s="346"/>
      <c r="O193" s="347"/>
    </row>
    <row r="194" spans="1:16" s="322" customFormat="1" hidden="1" x14ac:dyDescent="0.25">
      <c r="A194" s="352"/>
      <c r="B194" s="352"/>
      <c r="C194" s="357">
        <f>SUM(D$161:D165)</f>
        <v>4.4518223310162046</v>
      </c>
      <c r="D194" s="341">
        <f t="shared" si="16"/>
        <v>5</v>
      </c>
      <c r="E194" s="445">
        <f t="shared" si="11"/>
        <v>1.1592740742999998</v>
      </c>
      <c r="F194" s="346">
        <f t="shared" si="13"/>
        <v>5796.3703714999992</v>
      </c>
      <c r="G194" s="451">
        <f t="shared" si="14"/>
        <v>1.6105100000000006</v>
      </c>
      <c r="H194" s="324">
        <f t="shared" si="12"/>
        <v>805.25500000000022</v>
      </c>
      <c r="J194" s="439">
        <f t="shared" si="15"/>
        <v>1.6232204078293688</v>
      </c>
      <c r="K194" s="440">
        <f>SUM(I$161:J165)</f>
        <v>5.9516732480860233</v>
      </c>
      <c r="L194" s="443">
        <f>SUM(E$161:E165)</f>
        <v>4.8576050594559437</v>
      </c>
      <c r="M194" s="449">
        <f>SUM(G$161:G165)</f>
        <v>5.9349001196284004</v>
      </c>
      <c r="N194" s="346"/>
      <c r="O194" s="347"/>
    </row>
    <row r="195" spans="1:16" s="322" customFormat="1" hidden="1" x14ac:dyDescent="0.25">
      <c r="A195" s="352"/>
      <c r="B195" s="352"/>
      <c r="C195" s="357">
        <f>SUM(D$161:D166)</f>
        <v>5.2421368567463507</v>
      </c>
      <c r="D195" s="341">
        <f t="shared" si="16"/>
        <v>6</v>
      </c>
      <c r="E195" s="445">
        <f t="shared" si="11"/>
        <v>1.1940522965289999</v>
      </c>
      <c r="F195" s="346">
        <f t="shared" si="13"/>
        <v>5970.2614826449999</v>
      </c>
      <c r="G195" s="451">
        <f t="shared" si="14"/>
        <v>1.7715610000000008</v>
      </c>
      <c r="H195" s="324">
        <f t="shared" si="12"/>
        <v>885.78050000000042</v>
      </c>
      <c r="J195" s="439">
        <f t="shared" si="15"/>
        <v>1.7950055907787419</v>
      </c>
      <c r="K195" s="440">
        <f>SUM(I$161:J166)</f>
        <v>7.3702922402452842</v>
      </c>
      <c r="L195" s="443">
        <f>SUM(E$161:E166)</f>
        <v>5.8012819338842512</v>
      </c>
      <c r="M195" s="449">
        <f>SUM(G$161:G166)</f>
        <v>7.3349905111454241</v>
      </c>
      <c r="N195" s="346"/>
      <c r="O195" s="347"/>
    </row>
    <row r="196" spans="1:16" s="344" customFormat="1" hidden="1" x14ac:dyDescent="0.25">
      <c r="A196" s="352"/>
      <c r="B196" s="352"/>
      <c r="C196" s="357">
        <f>SUM(D$161:D167)</f>
        <v>6.0020546699484143</v>
      </c>
      <c r="D196" s="341">
        <f t="shared" si="16"/>
        <v>7</v>
      </c>
      <c r="E196" s="445">
        <f t="shared" si="11"/>
        <v>1.22987386542487</v>
      </c>
      <c r="F196" s="346">
        <f t="shared" si="13"/>
        <v>6149.3693271243501</v>
      </c>
      <c r="G196" s="451">
        <f t="shared" si="14"/>
        <v>1.9487171000000012</v>
      </c>
      <c r="H196" s="324">
        <f t="shared" si="12"/>
        <v>974.3585500000006</v>
      </c>
      <c r="J196" s="439">
        <f t="shared" si="15"/>
        <v>1.9882233344593259</v>
      </c>
      <c r="K196" s="440">
        <f>SUM(I$161:J167)</f>
        <v>8.8811785687249305</v>
      </c>
      <c r="L196" s="443">
        <f>SUM(E$161:E167)</f>
        <v>6.735884992212287</v>
      </c>
      <c r="M196" s="449">
        <f>SUM(G$161:G167)</f>
        <v>8.8158553483268918</v>
      </c>
      <c r="N196" s="346"/>
      <c r="O196" s="347"/>
      <c r="P196" s="322"/>
    </row>
    <row r="197" spans="1:16" s="344" customFormat="1" hidden="1" x14ac:dyDescent="0.25">
      <c r="A197" s="352"/>
      <c r="B197" s="352"/>
      <c r="C197" s="357">
        <f>SUM(D$161:D168)</f>
        <v>6.7327448749503978</v>
      </c>
      <c r="D197" s="341">
        <f t="shared" si="16"/>
        <v>8</v>
      </c>
      <c r="E197" s="445">
        <f t="shared" si="11"/>
        <v>1.2667700813876159</v>
      </c>
      <c r="F197" s="346">
        <f t="shared" si="13"/>
        <v>6333.8504069380797</v>
      </c>
      <c r="G197" s="451">
        <f t="shared" si="14"/>
        <v>2.1435888100000011</v>
      </c>
      <c r="H197" s="324">
        <f t="shared" si="12"/>
        <v>1071.7944050000006</v>
      </c>
      <c r="J197" s="439">
        <f t="shared" si="15"/>
        <v>2.2063283558078353</v>
      </c>
      <c r="K197" s="440">
        <f>SUM(I$161:J168)</f>
        <v>10.493321087331847</v>
      </c>
      <c r="L197" s="443">
        <f>SUM(E$161:E168)</f>
        <v>7.6615014826717838</v>
      </c>
      <c r="M197" s="449">
        <f>SUM(G$161:G168)</f>
        <v>10.382154695345751</v>
      </c>
      <c r="N197" s="346"/>
      <c r="O197" s="347"/>
      <c r="P197" s="322"/>
    </row>
    <row r="198" spans="1:16" s="344" customFormat="1" hidden="1" x14ac:dyDescent="0.25">
      <c r="A198" s="352"/>
      <c r="B198" s="352"/>
      <c r="C198" s="357">
        <f>SUM(D$161:D169)</f>
        <v>7.4353316105292286</v>
      </c>
      <c r="D198" s="341">
        <f t="shared" si="16"/>
        <v>9</v>
      </c>
      <c r="E198" s="445">
        <f t="shared" si="11"/>
        <v>1.3047731838292445</v>
      </c>
      <c r="F198" s="346">
        <f t="shared" si="13"/>
        <v>6523.865919146222</v>
      </c>
      <c r="G198" s="451">
        <f t="shared" si="14"/>
        <v>2.3579476910000015</v>
      </c>
      <c r="H198" s="324">
        <f t="shared" si="12"/>
        <v>1178.9738455000008</v>
      </c>
      <c r="J198" s="439">
        <f t="shared" si="15"/>
        <v>2.4535103431185754</v>
      </c>
      <c r="K198" s="440">
        <f>SUM(I$161:J169)</f>
        <v>12.217124910012423</v>
      </c>
      <c r="L198" s="443">
        <f>SUM(E$161:E169)</f>
        <v>8.5782178145691699</v>
      </c>
      <c r="M198" s="449">
        <f>SUM(G$161:G169)</f>
        <v>12.038817466231082</v>
      </c>
      <c r="N198" s="346"/>
      <c r="O198" s="347"/>
      <c r="P198" s="322"/>
    </row>
    <row r="199" spans="1:16" s="344" customFormat="1" hidden="1" x14ac:dyDescent="0.25">
      <c r="A199" s="352"/>
      <c r="B199" s="352"/>
      <c r="C199" s="357">
        <f>SUM(D$161:D170)</f>
        <v>8.1108957793550278</v>
      </c>
      <c r="D199" s="341">
        <f t="shared" si="16"/>
        <v>10</v>
      </c>
      <c r="E199" s="460">
        <f t="shared" si="11"/>
        <v>1.3439163793441218</v>
      </c>
      <c r="F199" s="346">
        <f t="shared" si="13"/>
        <v>6719.5818967206087</v>
      </c>
      <c r="G199" s="451">
        <f t="shared" si="14"/>
        <v>2.5937424601000019</v>
      </c>
      <c r="H199" s="324">
        <f t="shared" si="12"/>
        <v>1296.871230050001</v>
      </c>
      <c r="J199" s="439">
        <f t="shared" si="15"/>
        <v>2.7348896276538102</v>
      </c>
      <c r="K199" s="440">
        <f>SUM(I$161:J170)</f>
        <v>14.064718348148666</v>
      </c>
      <c r="L199" s="443">
        <f>SUM(E$161:E170)</f>
        <v>9.4861195663521585</v>
      </c>
      <c r="M199" s="449">
        <f>SUM(G$161:G170)</f>
        <v>13.791056935436721</v>
      </c>
      <c r="N199" s="346"/>
      <c r="O199" s="347"/>
      <c r="P199" s="322"/>
    </row>
    <row r="200" spans="1:16" s="344" customFormat="1" hidden="1" x14ac:dyDescent="0.25">
      <c r="A200" s="352"/>
      <c r="B200" s="352"/>
      <c r="C200" s="357">
        <f>SUM(D$161:D171)</f>
        <v>8.7604767109182955</v>
      </c>
      <c r="D200" s="341">
        <f t="shared" si="16"/>
        <v>11</v>
      </c>
      <c r="E200" s="445">
        <f t="shared" si="11"/>
        <v>1.3842338707244455</v>
      </c>
      <c r="F200" s="346">
        <f t="shared" si="13"/>
        <v>6921.1693536222274</v>
      </c>
      <c r="G200" s="451">
        <f t="shared" si="14"/>
        <v>2.8531167061100025</v>
      </c>
      <c r="H200" s="324">
        <f t="shared" si="12"/>
        <v>1426.5583530550011</v>
      </c>
      <c r="J200" s="439">
        <f t="shared" si="15"/>
        <v>3.0567746524707</v>
      </c>
      <c r="K200" s="440">
        <f>SUM(I$161:J171)</f>
        <v>16.050340874479566</v>
      </c>
      <c r="L200" s="443">
        <f>SUM(E$161:E171)</f>
        <v>10.385291493598771</v>
      </c>
      <c r="M200" s="449">
        <f>SUM(G$161:G171)</f>
        <v>15.644387143250379</v>
      </c>
      <c r="N200" s="346"/>
      <c r="O200" s="347"/>
      <c r="P200" s="322"/>
    </row>
    <row r="201" spans="1:16" s="344" customFormat="1" hidden="1" x14ac:dyDescent="0.25">
      <c r="A201" s="352"/>
      <c r="B201" s="352"/>
      <c r="C201" s="357">
        <f>SUM(D$161:D172)</f>
        <v>9.3850737604983614</v>
      </c>
      <c r="D201" s="341">
        <f t="shared" si="16"/>
        <v>12</v>
      </c>
      <c r="E201" s="445">
        <f t="shared" si="11"/>
        <v>1.4257608868461786</v>
      </c>
      <c r="F201" s="346">
        <f t="shared" si="13"/>
        <v>7128.8044342308931</v>
      </c>
      <c r="G201" s="451">
        <f t="shared" si="14"/>
        <v>3.1384283767210026</v>
      </c>
      <c r="H201" s="324">
        <f t="shared" si="12"/>
        <v>1569.2141883605013</v>
      </c>
      <c r="J201" s="439">
        <f t="shared" si="15"/>
        <v>3.427003817410998</v>
      </c>
      <c r="K201" s="440">
        <f>SUM(I$161:J172)</f>
        <v>18.190837347734096</v>
      </c>
      <c r="L201" s="443">
        <f>SUM(E$161:E172)</f>
        <v>11.275817536929551</v>
      </c>
      <c r="M201" s="449">
        <f>SUM(G$161:G172)</f>
        <v>17.604640247668669</v>
      </c>
      <c r="N201" s="346"/>
      <c r="O201" s="347"/>
      <c r="P201" s="322"/>
    </row>
    <row r="202" spans="1:16" s="344" customFormat="1" hidden="1" x14ac:dyDescent="0.25">
      <c r="A202" s="352"/>
      <c r="B202" s="352"/>
      <c r="C202" s="357">
        <f>SUM(D$161:D173)</f>
        <v>9.9856478466330394</v>
      </c>
      <c r="D202" s="341">
        <f t="shared" si="16"/>
        <v>13</v>
      </c>
      <c r="E202" s="445">
        <f t="shared" si="11"/>
        <v>1.4685337134515639</v>
      </c>
      <c r="F202" s="346">
        <f t="shared" si="13"/>
        <v>7342.6685672578196</v>
      </c>
      <c r="G202" s="451">
        <f t="shared" si="14"/>
        <v>3.4522712143931029</v>
      </c>
      <c r="H202" s="324">
        <f t="shared" si="12"/>
        <v>1726.1356071965515</v>
      </c>
      <c r="J202" s="439">
        <f t="shared" si="15"/>
        <v>3.855403719641759</v>
      </c>
      <c r="K202" s="440">
        <f>SUM(I$161:J173)</f>
        <v>20.506292913338182</v>
      </c>
      <c r="L202" s="443">
        <f>SUM(E$161:E173)</f>
        <v>12.15778082984369</v>
      </c>
      <c r="M202" s="449">
        <f>SUM(G$161:G173)</f>
        <v>19.677984877341864</v>
      </c>
      <c r="N202" s="346"/>
      <c r="O202" s="347"/>
      <c r="P202" s="322"/>
    </row>
    <row r="203" spans="1:16" s="344" customFormat="1" hidden="1" x14ac:dyDescent="0.25">
      <c r="A203" s="352"/>
      <c r="B203" s="352"/>
      <c r="C203" s="357">
        <f>SUM(D$161:D174)</f>
        <v>10.563122929454845</v>
      </c>
      <c r="D203" s="341">
        <f t="shared" si="16"/>
        <v>14</v>
      </c>
      <c r="E203" s="445">
        <f t="shared" si="11"/>
        <v>1.512589724855111</v>
      </c>
      <c r="F203" s="346">
        <f t="shared" si="13"/>
        <v>7562.9486242755547</v>
      </c>
      <c r="G203" s="451">
        <f t="shared" si="14"/>
        <v>3.7974983358324139</v>
      </c>
      <c r="H203" s="324">
        <f t="shared" si="12"/>
        <v>1898.7491679162069</v>
      </c>
      <c r="J203" s="439">
        <f t="shared" si="15"/>
        <v>4.3544097267010997</v>
      </c>
      <c r="K203" s="440">
        <f>SUM(I$161:J174)</f>
        <v>23.020856030904977</v>
      </c>
      <c r="L203" s="443">
        <f>SUM(E$161:E174)</f>
        <v>13.031263706479807</v>
      </c>
      <c r="M203" s="449">
        <f>SUM(G$161:G174)</f>
        <v>21.870945543342355</v>
      </c>
      <c r="N203" s="346"/>
      <c r="O203" s="347"/>
      <c r="P203" s="322"/>
    </row>
    <row r="204" spans="1:16" s="344" customFormat="1" hidden="1" x14ac:dyDescent="0.25">
      <c r="A204" s="352"/>
      <c r="B204" s="352"/>
      <c r="C204" s="357">
        <f>SUM(D$161:D175)</f>
        <v>11.11838743216812</v>
      </c>
      <c r="D204" s="341">
        <f t="shared" si="16"/>
        <v>15</v>
      </c>
      <c r="E204" s="445">
        <f t="shared" si="11"/>
        <v>1.5579674166007644</v>
      </c>
      <c r="F204" s="346">
        <f t="shared" si="13"/>
        <v>7789.837083003822</v>
      </c>
      <c r="G204" s="451">
        <f t="shared" si="14"/>
        <v>4.1772481694156554</v>
      </c>
      <c r="H204" s="324">
        <f t="shared" si="12"/>
        <v>2088.6240847078275</v>
      </c>
      <c r="J204" s="439">
        <f t="shared" si="15"/>
        <v>4.9399156013586794</v>
      </c>
      <c r="K204" s="440">
        <f>SUM(I$161:J175)</f>
        <v>25.763815810738951</v>
      </c>
      <c r="L204" s="443">
        <f>SUM(E$161:E175)</f>
        <v>13.896347709302116</v>
      </c>
      <c r="M204" s="449">
        <f>SUM(G$161:G175)</f>
        <v>24.190423170842877</v>
      </c>
      <c r="N204" s="346"/>
      <c r="O204" s="347"/>
      <c r="P204" s="322"/>
    </row>
    <row r="205" spans="1:16" s="344" customFormat="1" hidden="1" x14ac:dyDescent="0.25">
      <c r="A205" s="352"/>
      <c r="B205" s="352"/>
      <c r="C205" s="357">
        <f>SUM(D$161:D176)</f>
        <v>11.652295607853961</v>
      </c>
      <c r="D205" s="341">
        <f t="shared" si="16"/>
        <v>16</v>
      </c>
      <c r="E205" s="445">
        <f t="shared" si="11"/>
        <v>1.6047064390987871</v>
      </c>
      <c r="F205" s="346">
        <f t="shared" si="13"/>
        <v>8023.5321954939354</v>
      </c>
      <c r="G205" s="451">
        <f t="shared" si="14"/>
        <v>4.5949729863572211</v>
      </c>
      <c r="H205" s="324">
        <f t="shared" si="12"/>
        <v>2297.4864931786105</v>
      </c>
      <c r="J205" s="439">
        <f t="shared" si="15"/>
        <v>5.6324503540106763</v>
      </c>
      <c r="K205" s="440">
        <f>SUM(I$161:J176)</f>
        <v>28.77102710388986</v>
      </c>
      <c r="L205" s="443">
        <f>SUM(E$161:E176)</f>
        <v>14.753113596712671</v>
      </c>
      <c r="M205" s="449">
        <f>SUM(G$161:G176)</f>
        <v>26.643716815314583</v>
      </c>
      <c r="N205" s="346"/>
      <c r="O205" s="347"/>
      <c r="P205" s="322"/>
    </row>
    <row r="206" spans="1:16" s="344" customFormat="1" hidden="1" x14ac:dyDescent="0.25">
      <c r="A206" s="352"/>
      <c r="B206" s="352"/>
      <c r="C206" s="357">
        <f>SUM(D$161:D177)</f>
        <v>12.165668853705732</v>
      </c>
      <c r="D206" s="341">
        <f t="shared" si="16"/>
        <v>17</v>
      </c>
      <c r="E206" s="445">
        <f t="shared" si="11"/>
        <v>1.6528476322717507</v>
      </c>
      <c r="F206" s="346">
        <f t="shared" si="13"/>
        <v>8264.2381613587531</v>
      </c>
      <c r="G206" s="451">
        <f t="shared" si="14"/>
        <v>5.0544702849929433</v>
      </c>
      <c r="H206" s="324">
        <f t="shared" si="12"/>
        <v>2527.2351424964718</v>
      </c>
      <c r="J206" s="439">
        <f t="shared" si="15"/>
        <v>6.4588287994176525</v>
      </c>
      <c r="K206" s="440">
        <f>SUM(I$161:J177)</f>
        <v>32.086817009047792</v>
      </c>
      <c r="L206" s="443">
        <f>SUM(E$161:E177)</f>
        <v>15.601641350590434</v>
      </c>
      <c r="M206" s="449">
        <f>SUM(G$161:G177)</f>
        <v>29.238546631582732</v>
      </c>
      <c r="N206" s="346"/>
      <c r="O206" s="347"/>
      <c r="P206" s="322"/>
    </row>
    <row r="207" spans="1:16" s="344" customFormat="1" hidden="1" x14ac:dyDescent="0.25">
      <c r="A207" s="352"/>
      <c r="B207" s="352"/>
      <c r="C207" s="357">
        <f>SUM(D$161:D178)</f>
        <v>12.65929697471705</v>
      </c>
      <c r="D207" s="341">
        <f t="shared" si="16"/>
        <v>18</v>
      </c>
      <c r="E207" s="445">
        <f t="shared" si="11"/>
        <v>1.7024330612399032</v>
      </c>
      <c r="F207" s="346">
        <f t="shared" si="13"/>
        <v>8512.1653061995166</v>
      </c>
      <c r="G207" s="451">
        <f t="shared" si="14"/>
        <v>5.5599173134922379</v>
      </c>
      <c r="H207" s="324">
        <f t="shared" si="12"/>
        <v>2779.9586567461188</v>
      </c>
      <c r="J207" s="439">
        <f t="shared" si="15"/>
        <v>7.454497598860943</v>
      </c>
      <c r="K207" s="440">
        <f>SUM(I$161:J178)</f>
        <v>35.766566651856898</v>
      </c>
      <c r="L207" s="443">
        <f>SUM(E$161:E178)</f>
        <v>16.442010183757834</v>
      </c>
      <c r="M207" s="449">
        <f>SUM(G$161:G178)</f>
        <v>31.983078168020199</v>
      </c>
      <c r="N207" s="346"/>
      <c r="O207" s="347"/>
      <c r="P207" s="322"/>
    </row>
    <row r="208" spans="1:16" s="344" customFormat="1" hidden="1" x14ac:dyDescent="0.25">
      <c r="A208" s="352"/>
      <c r="B208" s="352"/>
      <c r="C208" s="357">
        <f>SUM(D$161:D179)</f>
        <v>13.133939398766394</v>
      </c>
      <c r="D208" s="341">
        <f t="shared" si="16"/>
        <v>19</v>
      </c>
      <c r="E208" s="445">
        <f t="shared" si="11"/>
        <v>1.7535060530771003</v>
      </c>
      <c r="F208" s="346">
        <f t="shared" si="13"/>
        <v>8767.5302653855015</v>
      </c>
      <c r="G208" s="451">
        <f t="shared" si="14"/>
        <v>6.1159090448414632</v>
      </c>
      <c r="H208" s="324">
        <f t="shared" si="12"/>
        <v>3057.9545224207318</v>
      </c>
      <c r="J208" s="439">
        <f t="shared" si="15"/>
        <v>8.6669178887823151</v>
      </c>
      <c r="K208" s="440">
        <f>SUM(I$161:J179)</f>
        <v>39.880253567625161</v>
      </c>
      <c r="L208" s="443">
        <f>SUM(E$161:E179)</f>
        <v>17.274298547375544</v>
      </c>
      <c r="M208" s="449">
        <f>SUM(G$161:G179)</f>
        <v>34.885948062329057</v>
      </c>
      <c r="N208" s="346"/>
      <c r="O208" s="347"/>
      <c r="P208" s="322"/>
    </row>
    <row r="209" spans="1:16" s="344" customFormat="1" hidden="1" x14ac:dyDescent="0.25">
      <c r="A209" s="352"/>
      <c r="B209" s="352"/>
      <c r="C209" s="357">
        <f>SUM(D$161:D180)</f>
        <v>13.590326344967686</v>
      </c>
      <c r="D209" s="341">
        <f t="shared" si="16"/>
        <v>20</v>
      </c>
      <c r="E209" s="445">
        <f t="shared" si="11"/>
        <v>1.8061112346694133</v>
      </c>
      <c r="F209" s="346">
        <f t="shared" si="13"/>
        <v>9030.5561733470659</v>
      </c>
      <c r="G209" s="451">
        <f t="shared" si="14"/>
        <v>6.7274999493256091</v>
      </c>
      <c r="H209" s="324">
        <f t="shared" si="12"/>
        <v>3363.7499746628046</v>
      </c>
      <c r="J209" s="439">
        <f t="shared" si="15"/>
        <v>10.160517946889996</v>
      </c>
      <c r="K209" s="440">
        <f>SUM(I$161:J180)</f>
        <v>44.517381325229707</v>
      </c>
      <c r="L209" s="443">
        <f>SUM(E$161:E180)</f>
        <v>18.098584138266162</v>
      </c>
      <c r="M209" s="449">
        <f>SUM(G$161:G180)</f>
        <v>37.956291219771117</v>
      </c>
      <c r="N209" s="346"/>
      <c r="O209" s="347"/>
      <c r="P209" s="322"/>
    </row>
    <row r="210" spans="1:16" s="344" customFormat="1" hidden="1" x14ac:dyDescent="0.25">
      <c r="A210" s="352"/>
      <c r="B210" s="352"/>
      <c r="C210" s="357">
        <f>SUM(D$161:D181)</f>
        <v>14.029159947084313</v>
      </c>
      <c r="D210" s="341">
        <f t="shared" si="16"/>
        <v>21</v>
      </c>
      <c r="E210" s="445">
        <f t="shared" si="11"/>
        <v>1.8602945717094954</v>
      </c>
      <c r="F210" s="346">
        <f t="shared" si="13"/>
        <v>9301.4728585474768</v>
      </c>
      <c r="G210" s="451">
        <f t="shared" si="14"/>
        <v>7.4002499442581708</v>
      </c>
      <c r="H210" s="324">
        <f t="shared" si="12"/>
        <v>3700.1249721290856</v>
      </c>
      <c r="J210" s="439">
        <f t="shared" si="15"/>
        <v>12.024065176045525</v>
      </c>
      <c r="K210" s="440">
        <f>SUM(I$161:J181)</f>
        <v>49.793945158518859</v>
      </c>
      <c r="L210" s="443">
        <f>SUM(E$161:E181)</f>
        <v>18.914943906167448</v>
      </c>
      <c r="M210" s="449">
        <f>SUM(G$161:G181)</f>
        <v>41.203769559373299</v>
      </c>
      <c r="N210" s="346"/>
      <c r="O210" s="347"/>
      <c r="P210" s="322"/>
    </row>
    <row r="211" spans="1:16" s="344" customFormat="1" hidden="1" x14ac:dyDescent="0.25">
      <c r="A211" s="352"/>
      <c r="B211" s="352"/>
      <c r="C211" s="357">
        <f>SUM(D$161:D182)</f>
        <v>14.451115333734917</v>
      </c>
      <c r="D211" s="341">
        <f t="shared" si="16"/>
        <v>22</v>
      </c>
      <c r="E211" s="445">
        <f t="shared" si="11"/>
        <v>1.9161034088607805</v>
      </c>
      <c r="F211" s="346">
        <f t="shared" si="13"/>
        <v>9580.5170443039024</v>
      </c>
      <c r="G211" s="451">
        <f t="shared" si="14"/>
        <v>8.140274938683989</v>
      </c>
      <c r="H211" s="324">
        <f t="shared" si="12"/>
        <v>4070.1374693419943</v>
      </c>
      <c r="J211" s="439">
        <f t="shared" si="15"/>
        <v>14.381835542831647</v>
      </c>
      <c r="K211" s="440">
        <f>SUM(I$161:J182)</f>
        <v>55.862438135739765</v>
      </c>
      <c r="L211" s="443">
        <f>SUM(E$161:E182)</f>
        <v>19.723454060915838</v>
      </c>
      <c r="M211" s="449">
        <f>SUM(G$161:G182)</f>
        <v>44.638602418567913</v>
      </c>
      <c r="N211" s="346"/>
      <c r="O211" s="347"/>
      <c r="P211" s="322"/>
    </row>
    <row r="212" spans="1:16" s="344" customFormat="1" hidden="1" x14ac:dyDescent="0.25">
      <c r="A212" s="352"/>
      <c r="B212" s="352"/>
      <c r="C212" s="357">
        <f>SUM(D$161:D183)</f>
        <v>14.856841667052803</v>
      </c>
      <c r="D212" s="341">
        <f t="shared" si="16"/>
        <v>23</v>
      </c>
      <c r="E212" s="445">
        <f t="shared" si="11"/>
        <v>1.973586511126604</v>
      </c>
      <c r="F212" s="346">
        <f t="shared" si="13"/>
        <v>9867.9325556330205</v>
      </c>
      <c r="G212" s="451">
        <f t="shared" si="14"/>
        <v>8.9543024325523888</v>
      </c>
      <c r="H212" s="324">
        <f t="shared" si="12"/>
        <v>4477.1512162761946</v>
      </c>
      <c r="J212" s="439">
        <f t="shared" si="15"/>
        <v>17.410862972835218</v>
      </c>
      <c r="K212" s="440">
        <f>SUM(I$161:J183)</f>
        <v>62.926483729608371</v>
      </c>
      <c r="L212" s="443">
        <f>SUM(E$161:E183)</f>
        <v>20.524190079560878</v>
      </c>
      <c r="M212" s="449">
        <f>SUM(G$161:G183)</f>
        <v>48.271598711946837</v>
      </c>
      <c r="N212" s="346"/>
      <c r="O212" s="347"/>
      <c r="P212" s="322"/>
    </row>
    <row r="213" spans="1:16" s="344" customFormat="1" hidden="1" x14ac:dyDescent="0.25">
      <c r="A213" s="352"/>
      <c r="B213" s="352"/>
      <c r="C213" s="357">
        <f>SUM(D$161:D184)</f>
        <v>15.246963141396925</v>
      </c>
      <c r="D213" s="341">
        <f t="shared" si="16"/>
        <v>24</v>
      </c>
      <c r="E213" s="445">
        <f t="shared" si="11"/>
        <v>2.0327941064604018</v>
      </c>
      <c r="F213" s="346">
        <f t="shared" si="13"/>
        <v>10163.97053230201</v>
      </c>
      <c r="G213" s="451">
        <f t="shared" si="14"/>
        <v>9.8497326758076262</v>
      </c>
      <c r="H213" s="324">
        <f t="shared" si="12"/>
        <v>4924.8663379038135</v>
      </c>
      <c r="J213" s="439">
        <f t="shared" si="15"/>
        <v>21.368132903287677</v>
      </c>
      <c r="K213" s="440">
        <f>SUM(I$161:J184)</f>
        <v>71.262651241820109</v>
      </c>
      <c r="L213" s="443">
        <f>SUM(E$161:E184)</f>
        <v>21.317226713411252</v>
      </c>
      <c r="M213" s="449">
        <f>SUM(G$161:G184)</f>
        <v>52.114190945328389</v>
      </c>
      <c r="N213" s="346"/>
      <c r="O213" s="347"/>
      <c r="P213" s="322"/>
    </row>
    <row r="214" spans="1:16" s="344" customFormat="1" hidden="1" x14ac:dyDescent="0.25">
      <c r="A214" s="352"/>
      <c r="B214" s="352"/>
      <c r="C214" s="357">
        <f>SUM(D$161:D185)</f>
        <v>15.622079943650888</v>
      </c>
      <c r="D214" s="341">
        <f t="shared" si="16"/>
        <v>25</v>
      </c>
      <c r="E214" s="445">
        <f t="shared" si="11"/>
        <v>2.0937779296542138</v>
      </c>
      <c r="F214" s="346">
        <f t="shared" si="13"/>
        <v>10468.88964827107</v>
      </c>
      <c r="G214" s="451">
        <f t="shared" si="14"/>
        <v>10.834705943388391</v>
      </c>
      <c r="H214" s="324">
        <f t="shared" si="12"/>
        <v>5417.3529716941957</v>
      </c>
      <c r="J214" s="439">
        <f t="shared" si="15"/>
        <v>26.634418170879584</v>
      </c>
      <c r="K214" s="440">
        <f>SUM(I$161:J185)</f>
        <v>81.253669015975319</v>
      </c>
      <c r="L214" s="443">
        <f>SUM(E$161:E185)</f>
        <v>22.102637995013065</v>
      </c>
      <c r="M214" s="449">
        <f>SUM(G$161:G185)</f>
        <v>56.178471192174257</v>
      </c>
      <c r="N214" s="346"/>
      <c r="O214" s="347"/>
      <c r="P214" s="322"/>
    </row>
    <row r="215" spans="1:16" ht="15" hidden="1" customHeight="1" x14ac:dyDescent="0.25"/>
    <row r="216" spans="1:16" ht="15" hidden="1" customHeight="1" x14ac:dyDescent="0.25"/>
    <row r="217" spans="1:16" ht="15" hidden="1" customHeight="1" x14ac:dyDescent="0.25"/>
  </sheetData>
  <sheetProtection algorithmName="SHA-512" hashValue="W7tmNr6P6yDv2N/3E37GlEAEWShiAWSjg/K1U6DS+5Pl/kOMqEAV2DgQISXIKdXBio+OSnEzzriKomcpp3xSYA==" saltValue="n5WQ1H7vVk3dfOPjSPCD9g==" spinCount="100000" sheet="1" objects="1" scenarios="1"/>
  <mergeCells count="12">
    <mergeCell ref="D156:E156"/>
    <mergeCell ref="C131:I131"/>
    <mergeCell ref="C6:H6"/>
    <mergeCell ref="G8:H8"/>
    <mergeCell ref="D103:H103"/>
    <mergeCell ref="A139:C139"/>
    <mergeCell ref="H69:H70"/>
    <mergeCell ref="C3:H3"/>
    <mergeCell ref="H39:H40"/>
    <mergeCell ref="E147:H147"/>
    <mergeCell ref="F1:H1"/>
    <mergeCell ref="F150:H151"/>
  </mergeCells>
  <conditionalFormatting sqref="D31">
    <cfRule type="expression" dxfId="4" priority="1">
      <formula>#REF!="Norge"</formula>
    </cfRule>
  </conditionalFormatting>
  <dataValidations count="12">
    <dataValidation type="list" allowBlank="1" showInputMessage="1" showErrorMessage="1" prompt="0 = Nei, gangfeltkriteriene er ikke oppfylt_x000a_1 = Ja, gangfeltkriteriene er oppfylt" sqref="D49">
      <formula1>$N$47:$N$48</formula1>
    </dataValidation>
    <dataValidation showInputMessage="1" promptTitle="Standard: -5" prompt="(annen verdi kan oppgis)" sqref="D60:D61"/>
    <dataValidation showInputMessage="1" promptTitle="Standard: -3" prompt="(annen verdi kan oppgis)" sqref="E60:E61 F61"/>
    <dataValidation showInputMessage="1" promptTitle="Standard: -10" prompt="(annen verdi kan oppgis)" sqref="F60"/>
    <dataValidation type="list" showInputMessage="1" errorTitle="Feil verdi" error="Analyseperioden må være mellom 0 og 25 år" promptTitle="Standard: 10 år" prompt="Mellom 0 og 25 år." sqref="D27">
      <formula1>$J$29:$J$30</formula1>
    </dataValidation>
    <dataValidation allowBlank="1" showInputMessage="1" showErrorMessage="1" promptTitle="Beskrivelse av tiltaket" prompt="Her kan man for eksempel skrive mer om de enkelte tiltaksvariantene, f.eks. hvorfor enkelte nyttekomponenter er utelatt fra analysene." sqref="G8:H8"/>
    <dataValidation type="list" allowBlank="1" showInputMessage="1" showErrorMessage="1" promptTitle="Standard: Ja" prompt="Ja hvis nytten skal være med,_x000a_Kan settes til Nei hvis nytte for TS ikke skal være med i nyttekostnadsberegningene." sqref="D8">
      <formula1>$J$7:$J$8</formula1>
    </dataValidation>
    <dataValidation type="list" allowBlank="1" showInputMessage="1" showErrorMessage="1" promptTitle="Standard: Ja" prompt="Ja hvis nytten skal være med,_x000a_Kan settes til Nei hvis nytte for fremkommelighet (kjøretøy) ikke skal være med i nyttekostnadsberegningene." sqref="E8">
      <formula1>$J$7:$J$8</formula1>
    </dataValidation>
    <dataValidation type="list" allowBlank="1" showInputMessage="1" showErrorMessage="1" promptTitle="Standard: Ja" prompt="Ja hvis nytten skal være med,_x000a_Kan settes til Nei hvis nytte for fremkommelighet (fotgjengere) ikke skal være med i nyttekostnadsberegningene." sqref="F8">
      <formula1>$J$7:$J$8</formula1>
    </dataValidation>
    <dataValidation type="list" allowBlank="1" showInputMessage="1" showErrorMessage="1" sqref="D44">
      <formula1>$J$51:$J$52</formula1>
    </dataValidation>
    <dataValidation allowBlank="1" showInputMessage="1" showErrorMessage="1" promptTitle="Beskrivelse av tiltaket" prompt="Her kan man for eksempel beskrive tiltaket og de viktigste beregningsforutsetningene, legge inn kommentarer, …" sqref="C3:H3"/>
    <dataValidation allowBlank="1" showInputMessage="1" showErrorMessage="1" promptTitle="Hva heter tiltaket?" prompt="Her kan man skrive inn hva tiltaket heter." sqref="F1"/>
  </dataValidations>
  <pageMargins left="0.70866141732283472" right="0.39370078740157483" top="0.78740157480314965" bottom="0.78740157480314965" header="0.31496062992125984" footer="0.31496062992125984"/>
  <pageSetup paperSize="9" scale="78" fitToHeight="0" orientation="landscape" r:id="rId1"/>
  <headerFooter>
    <oddFooter>&amp;LITS-Virkningsberegninger
TØI-Rapport 1289/2013&amp;C&amp;"-,Fet"&amp;12&amp;A&amp;RSide &amp;P</oddFooter>
  </headerFooter>
  <rowBreaks count="4" manualBreakCount="4">
    <brk id="24" max="16383" man="1"/>
    <brk id="90" max="16383" man="1"/>
    <brk id="128" max="16383" man="1"/>
    <brk id="14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rgb="FF00B050"/>
    <pageSetUpPr fitToPage="1"/>
  </sheetPr>
  <dimension ref="A1:P189"/>
  <sheetViews>
    <sheetView showGridLines="0" workbookViewId="0">
      <pane ySplit="1" topLeftCell="A2" activePane="bottomLeft" state="frozen"/>
      <selection sqref="A1:E1"/>
      <selection pane="bottomLeft" sqref="A1:E1"/>
    </sheetView>
  </sheetViews>
  <sheetFormatPr baseColWidth="10" defaultColWidth="0" defaultRowHeight="15" zeroHeight="1" x14ac:dyDescent="0.25"/>
  <cols>
    <col min="1" max="1" width="3.85546875" style="147" customWidth="1"/>
    <col min="2" max="2" width="1.28515625" style="147" customWidth="1"/>
    <col min="3" max="3" width="27.140625" style="18" customWidth="1"/>
    <col min="4" max="6" width="11.5703125" style="19" customWidth="1"/>
    <col min="7" max="7" width="5.5703125" style="57" customWidth="1"/>
    <col min="8" max="8" width="97.85546875" style="18" customWidth="1"/>
    <col min="9" max="9" width="1.28515625" style="19" customWidth="1"/>
    <col min="10" max="10" width="11.42578125" style="48" hidden="1" customWidth="1"/>
    <col min="11" max="11" width="12.85546875" style="48" hidden="1" customWidth="1"/>
    <col min="12" max="16384" width="11.42578125" style="228" hidden="1"/>
  </cols>
  <sheetData>
    <row r="1" spans="1:16" ht="21" x14ac:dyDescent="0.25">
      <c r="A1" s="146" t="s">
        <v>412</v>
      </c>
      <c r="B1" s="18"/>
      <c r="D1" s="18"/>
      <c r="E1" s="18"/>
      <c r="F1" s="815"/>
      <c r="G1" s="860"/>
      <c r="H1" s="860"/>
      <c r="I1" s="231"/>
      <c r="J1" s="136" t="s">
        <v>57</v>
      </c>
    </row>
    <row r="2" spans="1:16" ht="18.75" x14ac:dyDescent="0.25">
      <c r="A2" s="144" t="s">
        <v>118</v>
      </c>
      <c r="B2" s="145"/>
      <c r="D2" s="231"/>
      <c r="E2" s="231"/>
      <c r="F2" s="231"/>
      <c r="G2" s="53"/>
      <c r="H2" s="21"/>
      <c r="I2" s="231"/>
    </row>
    <row r="3" spans="1:16" s="24" customFormat="1" ht="74.25" customHeight="1" x14ac:dyDescent="0.25">
      <c r="B3" s="146"/>
      <c r="C3" s="815"/>
      <c r="D3" s="815"/>
      <c r="E3" s="815"/>
      <c r="F3" s="815"/>
      <c r="G3" s="816"/>
      <c r="H3" s="815"/>
      <c r="I3" s="231"/>
      <c r="J3" s="136" t="s">
        <v>57</v>
      </c>
      <c r="K3" s="48"/>
      <c r="L3" s="137"/>
      <c r="M3" s="19"/>
      <c r="N3" s="19"/>
      <c r="O3" s="19"/>
      <c r="P3" s="18"/>
    </row>
    <row r="4" spans="1:16" ht="5.0999999999999996" customHeight="1" x14ac:dyDescent="0.25">
      <c r="A4" s="24"/>
      <c r="B4" s="146"/>
      <c r="C4" s="225"/>
      <c r="D4" s="225"/>
      <c r="E4" s="225"/>
      <c r="F4" s="225"/>
      <c r="G4" s="174"/>
      <c r="H4" s="225"/>
      <c r="I4" s="18"/>
      <c r="J4" s="175"/>
      <c r="K4" s="139"/>
    </row>
    <row r="5" spans="1:16" ht="18.75" x14ac:dyDescent="0.3">
      <c r="A5" s="207" t="s">
        <v>134</v>
      </c>
      <c r="C5" s="24"/>
      <c r="D5" s="62"/>
      <c r="E5" s="18"/>
      <c r="F5" s="18"/>
      <c r="G5" s="53"/>
      <c r="H5" s="25"/>
      <c r="I5" s="18"/>
      <c r="J5" s="137"/>
    </row>
    <row r="6" spans="1:16" ht="15.75" x14ac:dyDescent="0.25">
      <c r="B6" s="148" t="s">
        <v>132</v>
      </c>
      <c r="C6" s="24"/>
      <c r="D6" s="50"/>
      <c r="E6" s="50"/>
      <c r="F6" s="50"/>
      <c r="G6" s="53"/>
      <c r="H6" s="225"/>
      <c r="I6" s="18"/>
      <c r="J6" s="137"/>
    </row>
    <row r="7" spans="1:16" ht="15.75" x14ac:dyDescent="0.25">
      <c r="B7" s="148"/>
      <c r="C7" s="24" t="str">
        <f t="shared" ref="C7:D9" si="0">C57</f>
        <v>Passasjernytte, nåverdi</v>
      </c>
      <c r="D7" s="514">
        <f t="shared" si="0"/>
        <v>3.1633196062769285E-2</v>
      </c>
      <c r="E7" s="71" t="s">
        <v>862</v>
      </c>
      <c r="F7" s="50"/>
      <c r="G7" s="53"/>
      <c r="H7" s="225"/>
      <c r="I7" s="18"/>
      <c r="J7" s="137"/>
    </row>
    <row r="8" spans="1:16" ht="15.75" x14ac:dyDescent="0.25">
      <c r="B8" s="148"/>
      <c r="C8" s="24" t="str">
        <f t="shared" si="0"/>
        <v>Operatørnytte, nåverdi</v>
      </c>
      <c r="D8" s="514">
        <f t="shared" si="0"/>
        <v>0.85389946491926894</v>
      </c>
      <c r="E8" s="71" t="s">
        <v>862</v>
      </c>
      <c r="F8" s="50"/>
      <c r="G8" s="53"/>
      <c r="H8" s="225"/>
      <c r="I8" s="18"/>
      <c r="J8" s="137"/>
    </row>
    <row r="9" spans="1:16" ht="15.75" x14ac:dyDescent="0.25">
      <c r="B9" s="148"/>
      <c r="C9" s="24" t="str">
        <f t="shared" si="0"/>
        <v>Øvrig trafikantnytte, nåverdi</v>
      </c>
      <c r="D9" s="514">
        <f t="shared" si="0"/>
        <v>-1.9229494265031728</v>
      </c>
      <c r="E9" s="71" t="s">
        <v>862</v>
      </c>
      <c r="F9" s="50"/>
      <c r="G9" s="53"/>
      <c r="H9" s="225"/>
      <c r="I9" s="18"/>
      <c r="J9" s="137"/>
    </row>
    <row r="10" spans="1:16" s="4" customFormat="1" ht="3.95" customHeight="1" x14ac:dyDescent="0.25">
      <c r="A10" s="149"/>
      <c r="B10" s="147"/>
      <c r="C10" s="24"/>
      <c r="D10" s="574"/>
      <c r="E10" s="18"/>
      <c r="F10" s="18"/>
      <c r="G10" s="53"/>
      <c r="H10" s="225"/>
      <c r="I10" s="18"/>
      <c r="J10" s="139"/>
      <c r="K10" s="139"/>
    </row>
    <row r="11" spans="1:16" x14ac:dyDescent="0.25">
      <c r="C11" s="24" t="str">
        <f>C61</f>
        <v>Alle, nåverdi</v>
      </c>
      <c r="D11" s="514">
        <f>D61</f>
        <v>-1.0374167655211346</v>
      </c>
      <c r="E11" s="71" t="s">
        <v>862</v>
      </c>
      <c r="F11" s="65"/>
      <c r="G11" s="53"/>
      <c r="I11" s="18"/>
      <c r="J11" s="137"/>
    </row>
    <row r="12" spans="1:16" ht="3.95" customHeight="1" x14ac:dyDescent="0.25">
      <c r="C12" s="24"/>
      <c r="D12" s="574"/>
      <c r="E12" s="71"/>
      <c r="F12" s="65"/>
      <c r="G12" s="53"/>
      <c r="I12" s="18"/>
      <c r="J12" s="137"/>
    </row>
    <row r="13" spans="1:16" ht="15.75" x14ac:dyDescent="0.25">
      <c r="B13" s="145" t="s">
        <v>131</v>
      </c>
      <c r="C13" s="24"/>
      <c r="D13" s="514">
        <f>D67</f>
        <v>0.95154091299614252</v>
      </c>
      <c r="E13" s="71" t="s">
        <v>863</v>
      </c>
      <c r="F13" s="65"/>
      <c r="G13" s="53"/>
      <c r="I13" s="18"/>
      <c r="J13" s="137"/>
    </row>
    <row r="14" spans="1:16" x14ac:dyDescent="0.25">
      <c r="B14" s="147" t="s">
        <v>133</v>
      </c>
      <c r="C14" s="24"/>
      <c r="D14" s="574"/>
      <c r="E14" s="71"/>
      <c r="F14" s="65"/>
      <c r="G14" s="53"/>
      <c r="I14" s="18"/>
      <c r="J14" s="137"/>
    </row>
    <row r="15" spans="1:16" x14ac:dyDescent="0.25">
      <c r="C15" s="24" t="str">
        <f t="shared" ref="C15:D17" si="1">C69</f>
        <v>Nettonytte</v>
      </c>
      <c r="D15" s="514">
        <f t="shared" si="1"/>
        <v>-1.9889576785172771</v>
      </c>
      <c r="E15" s="71" t="s">
        <v>862</v>
      </c>
      <c r="F15" s="65"/>
      <c r="G15" s="53"/>
      <c r="I15" s="18"/>
      <c r="J15" s="137"/>
    </row>
    <row r="16" spans="1:16" x14ac:dyDescent="0.25">
      <c r="C16" s="24" t="str">
        <f t="shared" si="1"/>
        <v>Nettonytte per budsjettkrone</v>
      </c>
      <c r="D16" s="514">
        <f t="shared" si="1"/>
        <v>-2.0902492487207853</v>
      </c>
      <c r="E16" s="256" t="s">
        <v>862</v>
      </c>
      <c r="F16" s="255"/>
      <c r="G16" s="53"/>
      <c r="I16" s="18"/>
      <c r="J16" s="137"/>
    </row>
    <row r="17" spans="1:11" x14ac:dyDescent="0.25">
      <c r="C17" s="24" t="str">
        <f t="shared" si="1"/>
        <v>Nyttekostnadsforhold</v>
      </c>
      <c r="D17" s="514">
        <f t="shared" si="1"/>
        <v>-1.0902492487207853</v>
      </c>
      <c r="E17" s="256" t="s">
        <v>862</v>
      </c>
      <c r="F17" s="255"/>
      <c r="G17" s="53"/>
      <c r="I17" s="18"/>
      <c r="J17" s="137"/>
    </row>
    <row r="18" spans="1:11" x14ac:dyDescent="0.25">
      <c r="D18" s="18"/>
      <c r="E18" s="18"/>
      <c r="F18" s="18"/>
      <c r="G18" s="53"/>
      <c r="H18" s="25"/>
      <c r="I18" s="18"/>
      <c r="J18" s="137"/>
    </row>
    <row r="19" spans="1:11" ht="18.75" x14ac:dyDescent="0.25">
      <c r="A19" s="144" t="s">
        <v>0</v>
      </c>
      <c r="D19" s="231"/>
      <c r="E19" s="231"/>
      <c r="F19" s="231"/>
      <c r="G19" s="52"/>
      <c r="H19" s="21"/>
      <c r="I19" s="231"/>
    </row>
    <row r="20" spans="1:11" ht="15.75" x14ac:dyDescent="0.25">
      <c r="B20" s="145" t="s">
        <v>6</v>
      </c>
      <c r="D20" s="231"/>
      <c r="E20" s="231"/>
      <c r="F20" s="231"/>
      <c r="G20" s="52"/>
      <c r="H20" s="21"/>
      <c r="I20" s="231"/>
    </row>
    <row r="21" spans="1:11" x14ac:dyDescent="0.25">
      <c r="A21" s="150">
        <v>1</v>
      </c>
      <c r="C21" s="24" t="s">
        <v>406</v>
      </c>
      <c r="D21" s="504">
        <v>10</v>
      </c>
      <c r="E21" s="18" t="s">
        <v>44</v>
      </c>
      <c r="F21" s="18"/>
      <c r="G21" s="53">
        <f>A21</f>
        <v>1</v>
      </c>
      <c r="H21" s="18" t="s">
        <v>409</v>
      </c>
      <c r="I21" s="231"/>
      <c r="J21" s="218">
        <v>25</v>
      </c>
    </row>
    <row r="22" spans="1:11" x14ac:dyDescent="0.25">
      <c r="A22" s="150">
        <f>MAXA(A$21:A21)+1</f>
        <v>2</v>
      </c>
      <c r="C22" s="24" t="s">
        <v>8</v>
      </c>
      <c r="D22" s="516">
        <f>'Data-beregninger'!B6</f>
        <v>4</v>
      </c>
      <c r="E22" s="18" t="s">
        <v>61</v>
      </c>
      <c r="F22" s="18"/>
      <c r="G22" s="53">
        <f>A22</f>
        <v>2</v>
      </c>
      <c r="H22" s="18" t="s">
        <v>831</v>
      </c>
      <c r="I22" s="231"/>
      <c r="J22" s="48" t="s">
        <v>383</v>
      </c>
    </row>
    <row r="23" spans="1:11" x14ac:dyDescent="0.25">
      <c r="A23" s="150">
        <f>MAXA(A$21:A22)+1</f>
        <v>3</v>
      </c>
      <c r="C23" s="24" t="s">
        <v>55</v>
      </c>
      <c r="D23" s="517">
        <f>'Data-beregninger'!B7</f>
        <v>20</v>
      </c>
      <c r="E23" s="18" t="s">
        <v>61</v>
      </c>
      <c r="F23" s="18"/>
      <c r="G23" s="53">
        <f>A23</f>
        <v>3</v>
      </c>
      <c r="H23" s="18" t="s">
        <v>832</v>
      </c>
      <c r="I23" s="231"/>
      <c r="J23" s="48" t="s">
        <v>432</v>
      </c>
      <c r="K23" s="48" t="s">
        <v>431</v>
      </c>
    </row>
    <row r="24" spans="1:11" x14ac:dyDescent="0.25">
      <c r="A24" s="150">
        <f>MAXA(A$21:A23)+1</f>
        <v>4</v>
      </c>
      <c r="C24" s="24" t="s">
        <v>58</v>
      </c>
      <c r="D24" s="518">
        <f>IF(D21&lt;=1,D21,(1/(D22/100))*(1-1/((100+D22)/100)^D21))</f>
        <v>8.1108957793550367</v>
      </c>
      <c r="E24" s="18"/>
      <c r="F24" s="18"/>
      <c r="G24" s="53">
        <f>A24</f>
        <v>4</v>
      </c>
      <c r="H24" s="18" t="s">
        <v>116</v>
      </c>
      <c r="I24" s="231"/>
      <c r="J24" s="48">
        <f>VLOOKUP(D21,D149:J173,7)</f>
        <v>10.544398687589762</v>
      </c>
      <c r="K24" s="41">
        <f>VLOOKUP(D21,D149:G173,4)</f>
        <v>10.544398687589762</v>
      </c>
    </row>
    <row r="25" spans="1:11" s="498" customFormat="1" x14ac:dyDescent="0.25">
      <c r="A25" s="150">
        <f>MAXA(A$21:A24)+1</f>
        <v>5</v>
      </c>
      <c r="B25" s="147"/>
      <c r="C25" s="24" t="s">
        <v>998</v>
      </c>
      <c r="D25" s="601">
        <f>'Data-beregninger'!$C$3</f>
        <v>2014</v>
      </c>
      <c r="E25" s="18"/>
      <c r="F25" s="18"/>
      <c r="G25" s="330">
        <f>A25</f>
        <v>5</v>
      </c>
      <c r="H25" s="18" t="s">
        <v>1000</v>
      </c>
      <c r="I25" s="497"/>
      <c r="J25" s="48"/>
      <c r="K25" s="41"/>
    </row>
    <row r="26" spans="1:11" ht="15.75" x14ac:dyDescent="0.25">
      <c r="A26" s="151"/>
      <c r="B26" s="145" t="s">
        <v>177</v>
      </c>
      <c r="C26" s="24"/>
      <c r="D26" s="236"/>
      <c r="E26" s="237"/>
      <c r="F26" s="237"/>
      <c r="G26" s="53"/>
      <c r="H26" s="225"/>
      <c r="I26" s="18"/>
    </row>
    <row r="27" spans="1:11" ht="15.75" x14ac:dyDescent="0.25">
      <c r="A27" s="150">
        <f>MAXA(A$21:A26)+1</f>
        <v>6</v>
      </c>
      <c r="B27" s="145"/>
      <c r="C27" s="24" t="s">
        <v>176</v>
      </c>
      <c r="D27" s="504">
        <v>1</v>
      </c>
      <c r="E27" s="237"/>
      <c r="F27" s="237"/>
      <c r="G27" s="53">
        <f>A27</f>
        <v>6</v>
      </c>
      <c r="H27" s="226" t="s">
        <v>414</v>
      </c>
      <c r="I27" s="231"/>
    </row>
    <row r="28" spans="1:11" ht="15.75" x14ac:dyDescent="0.25">
      <c r="A28" s="150">
        <f>MAXA(A$21:A27)+1</f>
        <v>7</v>
      </c>
      <c r="B28" s="145"/>
      <c r="C28" s="24" t="s">
        <v>174</v>
      </c>
      <c r="D28" s="506">
        <v>500000</v>
      </c>
      <c r="E28" s="18" t="s">
        <v>128</v>
      </c>
      <c r="F28" s="237"/>
      <c r="G28" s="53">
        <f>A28</f>
        <v>7</v>
      </c>
      <c r="H28" s="226" t="s">
        <v>405</v>
      </c>
      <c r="I28" s="231"/>
    </row>
    <row r="29" spans="1:11" ht="15.75" x14ac:dyDescent="0.25">
      <c r="A29" s="150">
        <f>MAXA(A$21:A28)+1</f>
        <v>8</v>
      </c>
      <c r="B29" s="145"/>
      <c r="C29" s="24" t="s">
        <v>175</v>
      </c>
      <c r="D29" s="506">
        <v>50000</v>
      </c>
      <c r="E29" s="18" t="s">
        <v>128</v>
      </c>
      <c r="F29" s="237"/>
      <c r="G29" s="53">
        <f>A29</f>
        <v>8</v>
      </c>
      <c r="H29" s="226" t="s">
        <v>404</v>
      </c>
      <c r="I29" s="231"/>
    </row>
    <row r="30" spans="1:11" ht="15.75" x14ac:dyDescent="0.25">
      <c r="A30" s="150">
        <f>MAXA(A$21:A29)+1</f>
        <v>9</v>
      </c>
      <c r="B30" s="145"/>
      <c r="C30" s="24" t="s">
        <v>388</v>
      </c>
      <c r="D30" s="506">
        <v>15</v>
      </c>
      <c r="E30" s="18" t="s">
        <v>413</v>
      </c>
      <c r="F30" s="237"/>
      <c r="G30" s="53">
        <f>A30</f>
        <v>9</v>
      </c>
      <c r="H30" s="226" t="s">
        <v>415</v>
      </c>
      <c r="I30" s="231"/>
    </row>
    <row r="31" spans="1:11" ht="15.75" hidden="1" x14ac:dyDescent="0.25">
      <c r="A31" s="219"/>
      <c r="B31" s="132"/>
      <c r="C31" s="22" t="s">
        <v>56</v>
      </c>
      <c r="D31" s="48">
        <f>INT($D21/D30)+1</f>
        <v>1</v>
      </c>
      <c r="E31" s="48"/>
      <c r="F31" s="48"/>
      <c r="H31" s="230"/>
    </row>
    <row r="32" spans="1:11" ht="15.75" hidden="1" x14ac:dyDescent="0.25">
      <c r="A32" s="219"/>
      <c r="B32" s="132"/>
      <c r="C32" s="22" t="s">
        <v>56</v>
      </c>
      <c r="D32" s="239">
        <f>(1-((1+$D22/100)^(-D30*D31)))/(1-((1+$D22/100)^(-D30)))+(($D21-(D30*D31))/(D30*((1+$D22/100)^$D21)))</f>
        <v>0.77481194372473383</v>
      </c>
      <c r="E32" s="41"/>
      <c r="F32" s="41"/>
      <c r="H32" s="230"/>
    </row>
    <row r="33" spans="1:11" ht="15.75" x14ac:dyDescent="0.25">
      <c r="A33" s="151"/>
      <c r="B33" s="145" t="s">
        <v>393</v>
      </c>
      <c r="C33" s="24"/>
      <c r="D33" s="231"/>
      <c r="E33" s="18"/>
      <c r="F33" s="18"/>
      <c r="G33" s="53"/>
      <c r="H33" s="21"/>
      <c r="I33" s="231"/>
    </row>
    <row r="34" spans="1:11" x14ac:dyDescent="0.25">
      <c r="A34" s="150">
        <f>MAXA(A$21:A33)+1</f>
        <v>10</v>
      </c>
      <c r="C34" s="24" t="s">
        <v>391</v>
      </c>
      <c r="D34" s="506">
        <v>10000</v>
      </c>
      <c r="E34" s="18" t="s">
        <v>389</v>
      </c>
      <c r="F34" s="29"/>
      <c r="G34" s="53">
        <f>A34</f>
        <v>10</v>
      </c>
      <c r="H34" s="18" t="s">
        <v>416</v>
      </c>
      <c r="I34" s="231"/>
    </row>
    <row r="35" spans="1:11" x14ac:dyDescent="0.25">
      <c r="A35" s="150">
        <f>MAXA(A$21:A34)+1</f>
        <v>11</v>
      </c>
      <c r="C35" s="24" t="s">
        <v>395</v>
      </c>
      <c r="D35" s="586">
        <v>5</v>
      </c>
      <c r="E35" s="18" t="s">
        <v>61</v>
      </c>
      <c r="F35" s="29"/>
      <c r="G35" s="53">
        <f>A35</f>
        <v>11</v>
      </c>
      <c r="H35" s="18" t="s">
        <v>396</v>
      </c>
      <c r="I35" s="231"/>
    </row>
    <row r="36" spans="1:11" x14ac:dyDescent="0.25">
      <c r="A36" s="150">
        <f>MAXA(A$21:A35)+1</f>
        <v>12</v>
      </c>
      <c r="C36" s="24" t="s">
        <v>422</v>
      </c>
      <c r="D36" s="597">
        <v>0.9</v>
      </c>
      <c r="E36" s="18" t="s">
        <v>429</v>
      </c>
      <c r="F36" s="29"/>
      <c r="G36" s="53">
        <f>A36</f>
        <v>12</v>
      </c>
      <c r="H36" s="18" t="s">
        <v>839</v>
      </c>
      <c r="I36" s="231"/>
    </row>
    <row r="37" spans="1:11" ht="15.75" x14ac:dyDescent="0.25">
      <c r="A37" s="150"/>
      <c r="B37" s="145" t="s">
        <v>428</v>
      </c>
      <c r="C37" s="24"/>
      <c r="D37" s="18"/>
      <c r="E37" s="18"/>
      <c r="F37" s="29"/>
      <c r="G37" s="53"/>
      <c r="I37" s="231"/>
    </row>
    <row r="38" spans="1:11" x14ac:dyDescent="0.25">
      <c r="A38" s="150">
        <f>MAXA(A$21:A37)+1</f>
        <v>13</v>
      </c>
      <c r="C38" s="24" t="s">
        <v>423</v>
      </c>
      <c r="D38" s="506">
        <f>365*(14*6+10*2)</f>
        <v>37960</v>
      </c>
      <c r="E38" s="18" t="s">
        <v>424</v>
      </c>
      <c r="F38" s="29"/>
      <c r="G38" s="53">
        <f>A38</f>
        <v>13</v>
      </c>
      <c r="H38" s="18" t="s">
        <v>425</v>
      </c>
      <c r="I38" s="231"/>
    </row>
    <row r="39" spans="1:11" x14ac:dyDescent="0.25">
      <c r="A39" s="150">
        <f>MAXA(A$21:A38)+1</f>
        <v>14</v>
      </c>
      <c r="C39" s="24" t="s">
        <v>418</v>
      </c>
      <c r="D39" s="506">
        <v>20</v>
      </c>
      <c r="E39" s="18" t="s">
        <v>419</v>
      </c>
      <c r="F39" s="29"/>
      <c r="G39" s="53">
        <f>A39</f>
        <v>14</v>
      </c>
      <c r="H39" s="18" t="s">
        <v>420</v>
      </c>
      <c r="I39" s="231"/>
    </row>
    <row r="40" spans="1:11" x14ac:dyDescent="0.25">
      <c r="A40" s="150">
        <f>MAXA(A$21:A39)+1</f>
        <v>15</v>
      </c>
      <c r="C40" s="24" t="s">
        <v>427</v>
      </c>
      <c r="D40" s="597">
        <v>6.4</v>
      </c>
      <c r="E40" s="18" t="s">
        <v>429</v>
      </c>
      <c r="F40" s="29"/>
      <c r="G40" s="53">
        <f>A40</f>
        <v>15</v>
      </c>
      <c r="H40" s="18" t="s">
        <v>996</v>
      </c>
      <c r="I40" s="231"/>
    </row>
    <row r="41" spans="1:11" x14ac:dyDescent="0.25">
      <c r="A41" s="150"/>
      <c r="B41" s="147" t="s">
        <v>417</v>
      </c>
      <c r="C41" s="24"/>
      <c r="D41" s="18"/>
      <c r="E41" s="18"/>
      <c r="F41" s="29"/>
      <c r="G41" s="53"/>
      <c r="I41" s="231"/>
    </row>
    <row r="42" spans="1:11" x14ac:dyDescent="0.25">
      <c r="A42" s="150">
        <f>MAXA(A$21:A41)+1</f>
        <v>16</v>
      </c>
      <c r="C42" s="24" t="s">
        <v>448</v>
      </c>
      <c r="D42" s="506">
        <v>20</v>
      </c>
      <c r="E42" s="18" t="s">
        <v>419</v>
      </c>
      <c r="F42" s="29"/>
      <c r="G42" s="53">
        <f>A42</f>
        <v>16</v>
      </c>
      <c r="H42" s="813" t="s">
        <v>815</v>
      </c>
      <c r="I42" s="231"/>
    </row>
    <row r="43" spans="1:11" s="366" customFormat="1" x14ac:dyDescent="0.25">
      <c r="A43" s="150"/>
      <c r="B43" s="147"/>
      <c r="C43" s="24"/>
      <c r="D43" s="18"/>
      <c r="E43" s="18"/>
      <c r="F43" s="29"/>
      <c r="G43" s="53"/>
      <c r="H43" s="813"/>
      <c r="I43" s="368"/>
      <c r="J43" s="48"/>
      <c r="K43" s="48"/>
    </row>
    <row r="44" spans="1:11" x14ac:dyDescent="0.25">
      <c r="A44" s="150">
        <f>MAXA(A$21:A42)+1</f>
        <v>17</v>
      </c>
      <c r="C44" s="24" t="s">
        <v>447</v>
      </c>
      <c r="D44" s="597">
        <v>3.24</v>
      </c>
      <c r="E44" s="18" t="s">
        <v>443</v>
      </c>
      <c r="F44" s="29"/>
      <c r="G44" s="53">
        <f>A44</f>
        <v>17</v>
      </c>
      <c r="H44" s="18" t="s">
        <v>449</v>
      </c>
      <c r="I44" s="231"/>
    </row>
    <row r="45" spans="1:11" ht="30" x14ac:dyDescent="0.25">
      <c r="A45" s="150"/>
      <c r="C45" s="24"/>
      <c r="D45" s="243"/>
      <c r="E45" s="18"/>
      <c r="F45" s="29"/>
      <c r="G45" s="53"/>
      <c r="H45" s="385" t="s">
        <v>816</v>
      </c>
      <c r="I45" s="231"/>
    </row>
    <row r="46" spans="1:11" x14ac:dyDescent="0.25">
      <c r="A46" s="150">
        <f>MAXA(A$21:A44)+1</f>
        <v>18</v>
      </c>
      <c r="C46" s="24" t="s">
        <v>79</v>
      </c>
      <c r="D46" s="811">
        <v>10</v>
      </c>
      <c r="E46" s="18" t="s">
        <v>61</v>
      </c>
      <c r="F46" s="29"/>
      <c r="G46" s="53">
        <f>A46</f>
        <v>18</v>
      </c>
      <c r="H46" s="18" t="s">
        <v>119</v>
      </c>
      <c r="I46" s="231"/>
    </row>
    <row r="47" spans="1:11" x14ac:dyDescent="0.25">
      <c r="A47" s="150">
        <f>MAXA(A$21:A46)+1</f>
        <v>19</v>
      </c>
      <c r="C47" s="24" t="s">
        <v>46</v>
      </c>
      <c r="D47" s="586">
        <v>5</v>
      </c>
      <c r="E47" s="18" t="s">
        <v>61</v>
      </c>
      <c r="F47" s="29"/>
      <c r="G47" s="53">
        <f>A47</f>
        <v>19</v>
      </c>
      <c r="H47" s="18" t="s">
        <v>121</v>
      </c>
      <c r="I47" s="231"/>
    </row>
    <row r="48" spans="1:11" ht="15.75" hidden="1" x14ac:dyDescent="0.25">
      <c r="A48" s="219"/>
      <c r="B48" s="132"/>
      <c r="C48" s="22" t="s">
        <v>56</v>
      </c>
      <c r="D48" s="239">
        <f>'Data-beregninger'!C57/60</f>
        <v>3.7083403633210286</v>
      </c>
      <c r="E48" s="41" t="s">
        <v>429</v>
      </c>
      <c r="F48" s="41"/>
      <c r="H48" s="230" t="s">
        <v>450</v>
      </c>
    </row>
    <row r="49" spans="1:11" ht="15.75" hidden="1" x14ac:dyDescent="0.25">
      <c r="A49" s="219"/>
      <c r="B49" s="132"/>
      <c r="C49" s="22" t="s">
        <v>56</v>
      </c>
      <c r="D49" s="239">
        <f>'Data-beregninger'!C59/60</f>
        <v>11.108143199999999</v>
      </c>
      <c r="E49" s="41" t="s">
        <v>429</v>
      </c>
      <c r="F49" s="41"/>
      <c r="H49" s="230" t="s">
        <v>451</v>
      </c>
    </row>
    <row r="50" spans="1:11" ht="15.75" hidden="1" x14ac:dyDescent="0.25">
      <c r="A50" s="219"/>
      <c r="B50" s="132"/>
      <c r="C50" s="22" t="s">
        <v>56</v>
      </c>
      <c r="D50" s="239">
        <f>((100-D46)/100)*D48+(D46/100)*D49</f>
        <v>4.4483206469889254</v>
      </c>
      <c r="E50" s="41" t="s">
        <v>429</v>
      </c>
      <c r="F50" s="41"/>
      <c r="H50" s="230" t="s">
        <v>452</v>
      </c>
    </row>
    <row r="51" spans="1:11" ht="18.75" x14ac:dyDescent="0.25">
      <c r="A51" s="144" t="s">
        <v>5</v>
      </c>
      <c r="B51" s="145"/>
      <c r="D51" s="140"/>
      <c r="E51" s="18"/>
      <c r="F51" s="18"/>
      <c r="G51" s="53"/>
      <c r="I51" s="231"/>
    </row>
    <row r="52" spans="1:11" ht="25.5" x14ac:dyDescent="0.25">
      <c r="A52" s="246"/>
      <c r="B52" s="247"/>
      <c r="C52" s="248" t="s">
        <v>326</v>
      </c>
      <c r="D52" s="249" t="str">
        <f>IF(J52&lt;K52,"OBS: Det mangler informasjon - sjekk de oransje cellene!","-")</f>
        <v>-</v>
      </c>
      <c r="E52" s="250"/>
      <c r="F52" s="251"/>
      <c r="G52" s="251"/>
      <c r="H52" s="252"/>
      <c r="I52" s="253"/>
      <c r="J52" s="254">
        <f>COUNT(D21,D27,D28,D29,D30,D34,D36,D38,D39,D40,D44,D46,D42)</f>
        <v>13</v>
      </c>
      <c r="K52" s="254">
        <v>13</v>
      </c>
    </row>
    <row r="53" spans="1:11" x14ac:dyDescent="0.25">
      <c r="A53" s="149">
        <f>MAXA(A$21:A52)+1</f>
        <v>20</v>
      </c>
      <c r="C53" s="24" t="s">
        <v>392</v>
      </c>
      <c r="D53" s="514">
        <f>(D39/60)*D34*D36/1000000</f>
        <v>3.0000000000000001E-3</v>
      </c>
      <c r="E53" s="18" t="s">
        <v>961</v>
      </c>
      <c r="F53" s="18"/>
      <c r="G53" s="53">
        <f>A53</f>
        <v>20</v>
      </c>
      <c r="H53" s="225" t="s">
        <v>454</v>
      </c>
      <c r="I53" s="231"/>
    </row>
    <row r="54" spans="1:11" x14ac:dyDescent="0.25">
      <c r="A54" s="149">
        <f>MAXA(A$21:A53)+1</f>
        <v>21</v>
      </c>
      <c r="C54" s="24" t="s">
        <v>426</v>
      </c>
      <c r="D54" s="514">
        <f>D38*(D39/60)*D40/1000000</f>
        <v>8.0981333333333322E-2</v>
      </c>
      <c r="E54" s="18" t="s">
        <v>961</v>
      </c>
      <c r="F54" s="18"/>
      <c r="G54" s="53">
        <f>A54</f>
        <v>21</v>
      </c>
      <c r="H54" s="225" t="s">
        <v>454</v>
      </c>
      <c r="I54" s="231"/>
    </row>
    <row r="55" spans="1:11" x14ac:dyDescent="0.25">
      <c r="A55" s="149">
        <f>MAXA(A$21:A54)+1</f>
        <v>22</v>
      </c>
      <c r="C55" s="24" t="s">
        <v>430</v>
      </c>
      <c r="D55" s="514">
        <f>D38*D44*(-D42/60)*D50/1000000</f>
        <v>-0.1823669119004756</v>
      </c>
      <c r="E55" s="18" t="s">
        <v>961</v>
      </c>
      <c r="F55" s="18"/>
      <c r="G55" s="53">
        <f>A55</f>
        <v>22</v>
      </c>
      <c r="H55" s="225" t="s">
        <v>453</v>
      </c>
      <c r="I55" s="231"/>
    </row>
    <row r="56" spans="1:11" s="4" customFormat="1" ht="3.95" customHeight="1" x14ac:dyDescent="0.25">
      <c r="A56" s="149"/>
      <c r="B56" s="147"/>
      <c r="C56" s="24"/>
      <c r="D56" s="574"/>
      <c r="E56" s="18"/>
      <c r="F56" s="18"/>
      <c r="G56" s="53"/>
      <c r="H56" s="225"/>
      <c r="I56" s="18"/>
      <c r="J56" s="139"/>
      <c r="K56" s="139"/>
    </row>
    <row r="57" spans="1:11" x14ac:dyDescent="0.25">
      <c r="A57" s="149">
        <f>MAXA(A$21:A55)+1</f>
        <v>23</v>
      </c>
      <c r="C57" s="24" t="s">
        <v>435</v>
      </c>
      <c r="D57" s="514">
        <f>D53*K24</f>
        <v>3.1633196062769285E-2</v>
      </c>
      <c r="E57" s="18" t="s">
        <v>961</v>
      </c>
      <c r="F57" s="18"/>
      <c r="G57" s="53">
        <f>A57</f>
        <v>23</v>
      </c>
      <c r="H57" s="225" t="s">
        <v>438</v>
      </c>
      <c r="I57" s="231"/>
      <c r="J57" s="39">
        <f>IF($D57&gt;0,$D57,0)</f>
        <v>3.1633196062769285E-2</v>
      </c>
      <c r="K57" s="40">
        <f>IF($D57&lt;0,-$D57,0)</f>
        <v>0</v>
      </c>
    </row>
    <row r="58" spans="1:11" x14ac:dyDescent="0.25">
      <c r="A58" s="149">
        <f>MAXA(A$21:A57)+1</f>
        <v>24</v>
      </c>
      <c r="C58" s="24" t="s">
        <v>436</v>
      </c>
      <c r="D58" s="514">
        <f>D54*K24</f>
        <v>0.85389946491926894</v>
      </c>
      <c r="E58" s="18" t="s">
        <v>961</v>
      </c>
      <c r="F58" s="18"/>
      <c r="G58" s="53">
        <f>A58</f>
        <v>24</v>
      </c>
      <c r="H58" s="225" t="s">
        <v>438</v>
      </c>
      <c r="I58" s="231"/>
      <c r="J58" s="39">
        <f>IF($D58&gt;0,$D58,0)</f>
        <v>0.85389946491926894</v>
      </c>
      <c r="K58" s="40">
        <f>IF($D58&lt;0,-$D58,0)</f>
        <v>0</v>
      </c>
    </row>
    <row r="59" spans="1:11" x14ac:dyDescent="0.25">
      <c r="A59" s="149">
        <f>MAXA(A$21:A58)+1</f>
        <v>25</v>
      </c>
      <c r="C59" s="24" t="s">
        <v>437</v>
      </c>
      <c r="D59" s="514">
        <f>D55*J24</f>
        <v>-1.9229494265031728</v>
      </c>
      <c r="E59" s="18" t="s">
        <v>961</v>
      </c>
      <c r="F59" s="18"/>
      <c r="G59" s="53">
        <f>A59</f>
        <v>25</v>
      </c>
      <c r="H59" s="225" t="s">
        <v>438</v>
      </c>
      <c r="I59" s="231"/>
      <c r="J59" s="39">
        <f>IF($D59&gt;0,$D59,0)</f>
        <v>0</v>
      </c>
      <c r="K59" s="40">
        <f>IF($D59&lt;0,-$D59,0)</f>
        <v>1.9229494265031728</v>
      </c>
    </row>
    <row r="60" spans="1:11" s="4" customFormat="1" ht="3.95" customHeight="1" x14ac:dyDescent="0.25">
      <c r="A60" s="149"/>
      <c r="B60" s="147"/>
      <c r="C60" s="24"/>
      <c r="D60" s="574"/>
      <c r="E60" s="18"/>
      <c r="F60" s="18"/>
      <c r="G60" s="53"/>
      <c r="H60" s="225"/>
      <c r="I60" s="18"/>
      <c r="J60" s="139"/>
      <c r="K60" s="139"/>
    </row>
    <row r="61" spans="1:11" x14ac:dyDescent="0.25">
      <c r="A61" s="149">
        <f>MAXA(A$21:A59)+1</f>
        <v>26</v>
      </c>
      <c r="C61" s="24" t="s">
        <v>440</v>
      </c>
      <c r="D61" s="514">
        <f>SUM(D57:D59)</f>
        <v>-1.0374167655211346</v>
      </c>
      <c r="E61" s="18" t="s">
        <v>961</v>
      </c>
      <c r="F61" s="18"/>
      <c r="G61" s="53">
        <f>A61</f>
        <v>26</v>
      </c>
      <c r="H61" s="225" t="s">
        <v>439</v>
      </c>
      <c r="I61" s="231"/>
    </row>
    <row r="62" spans="1:11" ht="18.75" x14ac:dyDescent="0.25">
      <c r="A62" s="144" t="s">
        <v>11</v>
      </c>
      <c r="D62" s="536"/>
      <c r="E62" s="18"/>
      <c r="F62" s="18"/>
      <c r="G62" s="53"/>
      <c r="H62" s="21"/>
      <c r="I62" s="231"/>
    </row>
    <row r="63" spans="1:11" x14ac:dyDescent="0.25">
      <c r="A63" s="149">
        <f>MAXA(A$21:A62)+1</f>
        <v>27</v>
      </c>
      <c r="C63" s="24" t="s">
        <v>59</v>
      </c>
      <c r="D63" s="524">
        <f>D27*D28*D32/1000000</f>
        <v>0.38740597186236692</v>
      </c>
      <c r="E63" s="18" t="s">
        <v>961</v>
      </c>
      <c r="F63" s="42"/>
      <c r="G63" s="53">
        <f>A63</f>
        <v>27</v>
      </c>
      <c r="H63" s="225" t="s">
        <v>397</v>
      </c>
      <c r="I63" s="231"/>
    </row>
    <row r="64" spans="1:11" x14ac:dyDescent="0.25">
      <c r="A64" s="149">
        <f>MAXA(A$21:A63)+1</f>
        <v>28</v>
      </c>
      <c r="C64" s="24" t="s">
        <v>401</v>
      </c>
      <c r="D64" s="524">
        <f>D27*D29*D24/1000000</f>
        <v>0.40554478896775181</v>
      </c>
      <c r="E64" s="18" t="s">
        <v>961</v>
      </c>
      <c r="F64" s="42"/>
      <c r="G64" s="53">
        <f>A64</f>
        <v>28</v>
      </c>
      <c r="H64" s="226" t="s">
        <v>398</v>
      </c>
      <c r="I64" s="231"/>
    </row>
    <row r="65" spans="1:16" x14ac:dyDescent="0.25">
      <c r="A65" s="149">
        <f>MAXA(A$21:A64)+1</f>
        <v>29</v>
      </c>
      <c r="C65" s="24" t="s">
        <v>60</v>
      </c>
      <c r="D65" s="524">
        <f>D63+D64</f>
        <v>0.79295076083011873</v>
      </c>
      <c r="E65" s="18" t="s">
        <v>961</v>
      </c>
      <c r="F65" s="18"/>
      <c r="G65" s="53">
        <f>A65</f>
        <v>29</v>
      </c>
      <c r="H65" s="226" t="s">
        <v>399</v>
      </c>
      <c r="I65" s="231"/>
    </row>
    <row r="66" spans="1:16" s="4" customFormat="1" ht="3.95" customHeight="1" x14ac:dyDescent="0.25">
      <c r="A66" s="149"/>
      <c r="B66" s="147"/>
      <c r="C66" s="24"/>
      <c r="D66" s="574"/>
      <c r="E66" s="18"/>
      <c r="F66" s="18"/>
      <c r="G66" s="53"/>
      <c r="H66" s="225"/>
      <c r="I66" s="18"/>
      <c r="J66" s="139"/>
      <c r="K66" s="139"/>
    </row>
    <row r="67" spans="1:16" x14ac:dyDescent="0.25">
      <c r="A67" s="149">
        <f>MAXA(A$21:A65)+1</f>
        <v>30</v>
      </c>
      <c r="C67" s="24" t="s">
        <v>114</v>
      </c>
      <c r="D67" s="514">
        <f>SUM(D63:D64)*(100+D23)/100</f>
        <v>0.95154091299614252</v>
      </c>
      <c r="E67" s="18" t="s">
        <v>961</v>
      </c>
      <c r="F67" s="18"/>
      <c r="G67" s="53">
        <f>A67</f>
        <v>30</v>
      </c>
      <c r="H67" s="226" t="s">
        <v>400</v>
      </c>
      <c r="I67" s="231"/>
      <c r="J67" s="39">
        <f>IF($D67&lt;0,-$D67,0)</f>
        <v>0</v>
      </c>
      <c r="K67" s="40">
        <f>IF($D67&gt;0,$D67,0)</f>
        <v>0.95154091299614252</v>
      </c>
    </row>
    <row r="68" spans="1:16" ht="18.75" x14ac:dyDescent="0.25">
      <c r="A68" s="144" t="s">
        <v>117</v>
      </c>
      <c r="D68" s="592"/>
      <c r="E68" s="231"/>
      <c r="F68" s="231"/>
      <c r="G68" s="53"/>
      <c r="H68" s="21"/>
      <c r="I68" s="231"/>
    </row>
    <row r="69" spans="1:16" x14ac:dyDescent="0.25">
      <c r="A69" s="149">
        <f>MAXA(A$21:A68)+1</f>
        <v>31</v>
      </c>
      <c r="C69" s="24" t="s">
        <v>12</v>
      </c>
      <c r="D69" s="514">
        <f>D61-D67</f>
        <v>-1.9889576785172771</v>
      </c>
      <c r="E69" s="18" t="s">
        <v>961</v>
      </c>
      <c r="F69" s="231"/>
      <c r="G69" s="53">
        <f>A69</f>
        <v>31</v>
      </c>
      <c r="H69" s="18" t="s">
        <v>860</v>
      </c>
      <c r="I69" s="231"/>
    </row>
    <row r="70" spans="1:16" x14ac:dyDescent="0.25">
      <c r="A70" s="149">
        <f>MAXA(A$21:A69)+1</f>
        <v>32</v>
      </c>
      <c r="C70" s="24" t="s">
        <v>14</v>
      </c>
      <c r="D70" s="514">
        <f>D69/D67</f>
        <v>-2.0902492487207853</v>
      </c>
      <c r="E70" s="18" t="s">
        <v>961</v>
      </c>
      <c r="F70" s="231"/>
      <c r="G70" s="53">
        <f>A70</f>
        <v>32</v>
      </c>
      <c r="H70" s="18" t="s">
        <v>52</v>
      </c>
      <c r="I70" s="231"/>
    </row>
    <row r="71" spans="1:16" x14ac:dyDescent="0.25">
      <c r="A71" s="149">
        <f>MAXA(A$21:A70)+1</f>
        <v>33</v>
      </c>
      <c r="C71" s="24" t="s">
        <v>13</v>
      </c>
      <c r="D71" s="514">
        <f>D61/D67</f>
        <v>-1.0902492487207853</v>
      </c>
      <c r="E71" s="231"/>
      <c r="F71" s="231"/>
      <c r="G71" s="53">
        <f>A71</f>
        <v>33</v>
      </c>
      <c r="H71" s="18" t="s">
        <v>168</v>
      </c>
      <c r="I71" s="231"/>
    </row>
    <row r="72" spans="1:16" x14ac:dyDescent="0.25">
      <c r="A72" s="149"/>
      <c r="C72" s="24"/>
      <c r="D72" s="64"/>
      <c r="E72" s="65"/>
      <c r="F72" s="65"/>
      <c r="G72" s="53"/>
      <c r="I72" s="18"/>
      <c r="J72" s="139"/>
      <c r="K72" s="139"/>
    </row>
    <row r="73" spans="1:16" ht="18.75" x14ac:dyDescent="0.3">
      <c r="A73" s="207" t="s">
        <v>330</v>
      </c>
      <c r="C73" s="24"/>
      <c r="D73" s="64"/>
      <c r="E73" s="65"/>
      <c r="F73" s="65"/>
      <c r="G73" s="53"/>
      <c r="I73" s="18"/>
      <c r="J73" s="139"/>
      <c r="K73" s="139"/>
    </row>
    <row r="74" spans="1:16" s="18" customFormat="1" ht="5.0999999999999996" customHeight="1" x14ac:dyDescent="0.25">
      <c r="A74" s="144"/>
      <c r="B74" s="147"/>
      <c r="C74" s="24"/>
      <c r="D74" s="64"/>
      <c r="E74" s="65"/>
      <c r="F74" s="65"/>
      <c r="G74" s="53"/>
      <c r="J74" s="139"/>
      <c r="K74" s="139"/>
      <c r="L74" s="140"/>
      <c r="P74" s="24"/>
    </row>
    <row r="75" spans="1:16" s="18" customFormat="1" ht="42.75" customHeight="1" x14ac:dyDescent="0.25">
      <c r="A75" s="144"/>
      <c r="B75" s="147"/>
      <c r="C75" s="813" t="s">
        <v>768</v>
      </c>
      <c r="D75" s="812"/>
      <c r="E75" s="812"/>
      <c r="F75" s="812"/>
      <c r="G75" s="812"/>
      <c r="H75" s="812"/>
      <c r="I75" s="812"/>
      <c r="J75" s="139"/>
      <c r="K75" s="139"/>
      <c r="L75" s="140"/>
      <c r="P75" s="24"/>
    </row>
    <row r="76" spans="1:16" s="18" customFormat="1" ht="189" customHeight="1" x14ac:dyDescent="0.25">
      <c r="A76" s="144"/>
      <c r="B76" s="147"/>
      <c r="C76" s="24"/>
      <c r="D76" s="64"/>
      <c r="E76" s="65"/>
      <c r="F76" s="65"/>
      <c r="G76" s="53"/>
      <c r="J76" s="139"/>
      <c r="K76" s="139"/>
      <c r="L76" s="140"/>
      <c r="P76" s="24"/>
    </row>
    <row r="77" spans="1:16" s="18" customFormat="1" ht="6.75" customHeight="1" x14ac:dyDescent="0.25">
      <c r="A77" s="149"/>
      <c r="B77" s="147"/>
      <c r="C77" s="24"/>
      <c r="D77" s="64"/>
      <c r="E77" s="65"/>
      <c r="F77" s="65"/>
      <c r="G77" s="53"/>
      <c r="J77" s="139"/>
      <c r="K77" s="139"/>
      <c r="L77" s="140"/>
      <c r="P77" s="24"/>
    </row>
    <row r="78" spans="1:16" s="18" customFormat="1" ht="15" customHeight="1" x14ac:dyDescent="0.3">
      <c r="A78" s="207" t="s">
        <v>629</v>
      </c>
      <c r="B78" s="147"/>
      <c r="C78" s="24"/>
      <c r="D78" s="62"/>
      <c r="G78" s="330"/>
      <c r="H78" s="25"/>
      <c r="J78" s="139"/>
      <c r="K78" s="139"/>
      <c r="L78" s="140"/>
      <c r="P78" s="24"/>
    </row>
    <row r="79" spans="1:16" s="18" customFormat="1" ht="15" customHeight="1" x14ac:dyDescent="0.3">
      <c r="A79" s="207"/>
      <c r="B79" s="147"/>
      <c r="C79" s="24"/>
      <c r="D79" s="62"/>
      <c r="G79" s="330"/>
      <c r="H79" s="25"/>
      <c r="J79" s="139"/>
      <c r="K79" s="139"/>
      <c r="L79" s="140"/>
      <c r="P79" s="24"/>
    </row>
    <row r="80" spans="1:16" s="18" customFormat="1" ht="15" customHeight="1" x14ac:dyDescent="0.3">
      <c r="A80" s="207"/>
      <c r="B80" s="147"/>
      <c r="C80" s="24"/>
      <c r="E80" s="356" t="s">
        <v>631</v>
      </c>
      <c r="G80" s="330"/>
      <c r="H80" s="468" t="s">
        <v>633</v>
      </c>
      <c r="J80" s="139"/>
      <c r="K80" s="139"/>
      <c r="L80" s="140"/>
      <c r="P80" s="24"/>
    </row>
    <row r="81" spans="1:16" s="18" customFormat="1" ht="30.75" x14ac:dyDescent="0.3">
      <c r="A81" s="207"/>
      <c r="B81" s="147"/>
      <c r="C81" s="24"/>
      <c r="D81" s="466" t="s">
        <v>524</v>
      </c>
      <c r="E81" s="466" t="s">
        <v>302</v>
      </c>
      <c r="F81" s="466" t="s">
        <v>893</v>
      </c>
      <c r="G81" s="467"/>
      <c r="J81" s="139"/>
      <c r="K81" s="139"/>
      <c r="L81" s="140"/>
      <c r="P81" s="24"/>
    </row>
    <row r="82" spans="1:16" s="18" customFormat="1" ht="3.95" customHeight="1" x14ac:dyDescent="0.3">
      <c r="A82" s="207"/>
      <c r="B82" s="147"/>
      <c r="C82" s="24"/>
      <c r="D82" s="64"/>
      <c r="E82" s="65"/>
      <c r="F82" s="65"/>
      <c r="G82" s="53"/>
      <c r="J82" s="139"/>
      <c r="K82" s="139"/>
      <c r="L82" s="140"/>
      <c r="P82" s="24"/>
    </row>
    <row r="83" spans="1:16" s="18" customFormat="1" ht="30" customHeight="1" x14ac:dyDescent="0.25">
      <c r="A83" s="821" t="s">
        <v>329</v>
      </c>
      <c r="B83" s="822"/>
      <c r="C83" s="822"/>
      <c r="D83" s="465" t="s">
        <v>630</v>
      </c>
      <c r="E83" s="465" t="s">
        <v>630</v>
      </c>
      <c r="F83" s="465" t="s">
        <v>848</v>
      </c>
      <c r="G83" s="330"/>
      <c r="H83" s="251" t="s">
        <v>847</v>
      </c>
      <c r="J83" s="139"/>
      <c r="K83" s="139"/>
      <c r="L83" s="140"/>
      <c r="P83" s="24"/>
    </row>
    <row r="84" spans="1:16" s="18" customFormat="1" ht="3.95" customHeight="1" x14ac:dyDescent="0.25">
      <c r="A84" s="463"/>
      <c r="B84" s="464"/>
      <c r="C84" s="464"/>
      <c r="D84" s="250"/>
      <c r="E84" s="250"/>
      <c r="F84" s="250"/>
      <c r="G84" s="330"/>
      <c r="H84" s="251"/>
      <c r="J84" s="139"/>
      <c r="K84" s="139"/>
      <c r="L84" s="140"/>
      <c r="P84" s="24"/>
    </row>
    <row r="85" spans="1:16" s="366" customFormat="1" ht="15" customHeight="1" x14ac:dyDescent="0.25">
      <c r="A85" s="149"/>
      <c r="B85" s="147"/>
      <c r="C85" s="24"/>
      <c r="D85" s="64"/>
      <c r="E85" s="65"/>
      <c r="F85" s="65"/>
      <c r="G85" s="330"/>
      <c r="H85" s="18"/>
      <c r="I85" s="18"/>
      <c r="J85" s="48"/>
      <c r="K85" s="48"/>
      <c r="L85" s="319"/>
      <c r="M85" s="319"/>
      <c r="N85" s="319"/>
      <c r="O85" s="319"/>
    </row>
    <row r="86" spans="1:16" ht="18.75" x14ac:dyDescent="0.3">
      <c r="A86" s="207" t="s">
        <v>455</v>
      </c>
      <c r="C86" s="24"/>
      <c r="D86" s="64"/>
      <c r="E86" s="65"/>
      <c r="F86" s="65"/>
      <c r="G86" s="53"/>
      <c r="I86" s="18"/>
      <c r="J86" s="139"/>
      <c r="K86" s="139"/>
    </row>
    <row r="87" spans="1:16" s="231" customFormat="1" ht="15" customHeight="1" x14ac:dyDescent="0.25"/>
    <row r="88" spans="1:16" s="423" customFormat="1" ht="15" customHeight="1" x14ac:dyDescent="0.25">
      <c r="B88" s="147" t="s">
        <v>491</v>
      </c>
    </row>
    <row r="89" spans="1:16" s="494" customFormat="1" ht="15" customHeight="1" x14ac:dyDescent="0.25">
      <c r="B89" s="147"/>
      <c r="E89" s="72"/>
    </row>
    <row r="90" spans="1:16" s="423" customFormat="1" ht="15" customHeight="1" x14ac:dyDescent="0.25">
      <c r="B90" s="147"/>
      <c r="C90" s="258"/>
      <c r="D90" s="594">
        <f>'Data-beregninger'!C140</f>
        <v>1.0532808</v>
      </c>
      <c r="E90" s="497" t="s">
        <v>1033</v>
      </c>
      <c r="F90" s="482"/>
    </row>
    <row r="91" spans="1:16" s="366" customFormat="1" ht="5.0999999999999996" customHeight="1" x14ac:dyDescent="0.25">
      <c r="A91" s="149"/>
      <c r="B91" s="147"/>
      <c r="C91" s="395"/>
      <c r="D91" s="72"/>
      <c r="E91" s="72"/>
      <c r="F91" s="65"/>
      <c r="G91" s="53"/>
      <c r="H91" s="18"/>
      <c r="I91" s="18"/>
      <c r="J91" s="139"/>
      <c r="K91" s="139"/>
    </row>
    <row r="92" spans="1:16" s="366" customFormat="1" x14ac:dyDescent="0.25">
      <c r="A92" s="149"/>
      <c r="B92" s="147" t="s">
        <v>418</v>
      </c>
      <c r="C92" s="257"/>
      <c r="D92" s="426"/>
      <c r="E92" s="72"/>
      <c r="F92" s="65"/>
      <c r="G92" s="53"/>
      <c r="H92" s="18"/>
      <c r="I92" s="18"/>
      <c r="J92" s="139"/>
      <c r="K92" s="139"/>
    </row>
    <row r="93" spans="1:16" s="366" customFormat="1" x14ac:dyDescent="0.25">
      <c r="A93" s="149"/>
      <c r="B93" s="147"/>
      <c r="C93" s="257"/>
      <c r="D93" s="595">
        <v>20</v>
      </c>
      <c r="E93" s="72" t="s">
        <v>419</v>
      </c>
      <c r="F93" s="65"/>
      <c r="G93" s="53"/>
      <c r="H93" s="18"/>
      <c r="I93" s="18"/>
      <c r="J93" s="139"/>
      <c r="K93" s="139"/>
    </row>
    <row r="94" spans="1:16" s="366" customFormat="1" x14ac:dyDescent="0.25">
      <c r="A94" s="149"/>
      <c r="B94" s="147" t="s">
        <v>843</v>
      </c>
      <c r="D94" s="426"/>
      <c r="F94" s="65"/>
      <c r="G94" s="53"/>
      <c r="H94" s="18"/>
      <c r="I94" s="18"/>
      <c r="J94" s="139"/>
      <c r="K94" s="139"/>
    </row>
    <row r="95" spans="1:16" s="423" customFormat="1" ht="15" customHeight="1" x14ac:dyDescent="0.25">
      <c r="B95" s="147"/>
      <c r="C95" s="258"/>
      <c r="D95" s="594">
        <f>'Data-beregninger'!C141</f>
        <v>7.4990082024000007</v>
      </c>
      <c r="E95" s="497" t="s">
        <v>1034</v>
      </c>
      <c r="F95" s="482"/>
    </row>
    <row r="96" spans="1:16" s="231" customFormat="1" ht="15" customHeight="1" x14ac:dyDescent="0.25">
      <c r="B96" s="147" t="s">
        <v>441</v>
      </c>
    </row>
    <row r="97" spans="2:8" s="368" customFormat="1" ht="15" customHeight="1" x14ac:dyDescent="0.25">
      <c r="B97" s="147"/>
      <c r="C97" s="258" t="s">
        <v>809</v>
      </c>
      <c r="D97" s="598">
        <v>40</v>
      </c>
      <c r="F97" s="368" t="s">
        <v>810</v>
      </c>
    </row>
    <row r="98" spans="2:8" s="253" customFormat="1" ht="15" customHeight="1" x14ac:dyDescent="0.25">
      <c r="C98" s="432" t="s">
        <v>448</v>
      </c>
      <c r="D98" s="596">
        <f>D97/2</f>
        <v>20</v>
      </c>
      <c r="E98" s="251" t="s">
        <v>419</v>
      </c>
      <c r="F98" s="853" t="s">
        <v>811</v>
      </c>
      <c r="G98" s="823"/>
      <c r="H98" s="823"/>
    </row>
    <row r="99" spans="2:8" s="253" customFormat="1" ht="15" customHeight="1" x14ac:dyDescent="0.25">
      <c r="C99" s="257"/>
      <c r="D99" s="251"/>
      <c r="E99" s="251"/>
      <c r="F99" s="823"/>
      <c r="G99" s="823"/>
      <c r="H99" s="823"/>
    </row>
    <row r="100" spans="2:8" s="253" customFormat="1" ht="15" customHeight="1" x14ac:dyDescent="0.25">
      <c r="C100" s="257"/>
      <c r="D100" s="251"/>
      <c r="E100" s="251"/>
      <c r="F100" s="369"/>
      <c r="G100" s="369"/>
      <c r="H100" s="369"/>
    </row>
    <row r="101" spans="2:8" s="231" customFormat="1" ht="15" customHeight="1" x14ac:dyDescent="0.25">
      <c r="C101" s="258" t="s">
        <v>444</v>
      </c>
      <c r="D101" s="507">
        <v>3000</v>
      </c>
      <c r="E101" s="231" t="s">
        <v>4</v>
      </c>
      <c r="F101" s="368" t="s">
        <v>812</v>
      </c>
    </row>
    <row r="102" spans="2:8" s="231" customFormat="1" ht="15" customHeight="1" x14ac:dyDescent="0.25">
      <c r="C102" s="258" t="s">
        <v>445</v>
      </c>
      <c r="D102" s="507">
        <v>7500</v>
      </c>
      <c r="E102" s="231" t="s">
        <v>4</v>
      </c>
      <c r="F102" s="368" t="s">
        <v>813</v>
      </c>
    </row>
    <row r="103" spans="2:8" s="231" customFormat="1" ht="15" customHeight="1" x14ac:dyDescent="0.25">
      <c r="C103" s="258" t="s">
        <v>442</v>
      </c>
      <c r="D103" s="522">
        <f>(D101+D102)/(18*60*60)</f>
        <v>0.16203703703703703</v>
      </c>
      <c r="E103" s="231" t="s">
        <v>443</v>
      </c>
      <c r="F103" s="864" t="s">
        <v>446</v>
      </c>
      <c r="G103" s="864"/>
      <c r="H103" s="864"/>
    </row>
    <row r="104" spans="2:8" s="231" customFormat="1" ht="15" customHeight="1" x14ac:dyDescent="0.25">
      <c r="C104" s="147" t="s">
        <v>447</v>
      </c>
      <c r="D104" s="593">
        <f>D98*D103</f>
        <v>3.2407407407407405</v>
      </c>
      <c r="E104" s="231" t="s">
        <v>443</v>
      </c>
      <c r="F104" s="812" t="s">
        <v>814</v>
      </c>
      <c r="G104" s="812"/>
      <c r="H104" s="812"/>
    </row>
    <row r="105" spans="2:8" s="231" customFormat="1" ht="15" customHeight="1" x14ac:dyDescent="0.25">
      <c r="F105" s="812"/>
      <c r="G105" s="812"/>
      <c r="H105" s="812"/>
    </row>
    <row r="106" spans="2:8" s="231" customFormat="1" ht="15" customHeight="1" x14ac:dyDescent="0.25"/>
    <row r="107" spans="2:8" s="231" customFormat="1" ht="15" hidden="1" customHeight="1" x14ac:dyDescent="0.25"/>
    <row r="108" spans="2:8" s="231" customFormat="1" ht="15" hidden="1" customHeight="1" x14ac:dyDescent="0.25"/>
    <row r="109" spans="2:8" s="231" customFormat="1" ht="15" hidden="1" customHeight="1" x14ac:dyDescent="0.25"/>
    <row r="110" spans="2:8" s="231" customFormat="1" ht="15" hidden="1" customHeight="1" x14ac:dyDescent="0.25"/>
    <row r="111" spans="2:8" s="231" customFormat="1" ht="15" hidden="1" customHeight="1" x14ac:dyDescent="0.25"/>
    <row r="112" spans="2:8" s="231" customFormat="1" ht="15" hidden="1" customHeight="1" x14ac:dyDescent="0.25"/>
    <row r="113" spans="1:11" s="231" customFormat="1" ht="15" hidden="1" customHeight="1" x14ac:dyDescent="0.25"/>
    <row r="114" spans="1:11" s="231" customFormat="1" ht="15" hidden="1" customHeight="1" x14ac:dyDescent="0.25"/>
    <row r="115" spans="1:11" s="231" customFormat="1" ht="15" hidden="1" customHeight="1" x14ac:dyDescent="0.25"/>
    <row r="116" spans="1:11" hidden="1" x14ac:dyDescent="0.25">
      <c r="D116" s="231"/>
      <c r="E116" s="231"/>
      <c r="F116" s="231"/>
      <c r="G116" s="53"/>
      <c r="H116" s="21"/>
      <c r="I116" s="231"/>
    </row>
    <row r="117" spans="1:11" hidden="1" x14ac:dyDescent="0.25">
      <c r="A117" s="154" t="s">
        <v>57</v>
      </c>
      <c r="H117" s="32"/>
    </row>
    <row r="118" spans="1:11" hidden="1" x14ac:dyDescent="0.25">
      <c r="C118" s="155" t="s">
        <v>10</v>
      </c>
      <c r="D118" s="44"/>
      <c r="E118" s="44"/>
      <c r="F118" s="44"/>
      <c r="G118" s="58"/>
      <c r="H118" s="19"/>
      <c r="J118" s="19"/>
      <c r="K118" s="19"/>
    </row>
    <row r="119" spans="1:11" hidden="1" x14ac:dyDescent="0.25">
      <c r="C119" s="156">
        <v>0</v>
      </c>
      <c r="D119" s="46">
        <f>((100-D$22)/100)^C119</f>
        <v>1</v>
      </c>
      <c r="E119" s="46"/>
      <c r="F119" s="46"/>
      <c r="G119" s="59"/>
      <c r="H119" s="19"/>
      <c r="J119" s="19"/>
      <c r="K119" s="19"/>
    </row>
    <row r="120" spans="1:11" hidden="1" x14ac:dyDescent="0.25">
      <c r="C120" s="156">
        <f t="shared" ref="C120:C144" si="2">C119+1</f>
        <v>1</v>
      </c>
      <c r="D120" s="46">
        <f t="shared" ref="D120:D144" si="3">1/((100+D$22)/100)^C120</f>
        <v>0.96153846153846145</v>
      </c>
      <c r="E120" s="46"/>
      <c r="F120" s="46"/>
      <c r="G120" s="60"/>
      <c r="H120" s="19"/>
      <c r="J120" s="19"/>
      <c r="K120" s="19"/>
    </row>
    <row r="121" spans="1:11" hidden="1" x14ac:dyDescent="0.25">
      <c r="C121" s="156">
        <f t="shared" si="2"/>
        <v>2</v>
      </c>
      <c r="D121" s="46">
        <f t="shared" si="3"/>
        <v>0.92455621301775137</v>
      </c>
      <c r="E121" s="46"/>
      <c r="F121" s="46"/>
      <c r="G121" s="60"/>
      <c r="H121" s="19"/>
      <c r="J121" s="19"/>
      <c r="K121" s="19"/>
    </row>
    <row r="122" spans="1:11" hidden="1" x14ac:dyDescent="0.25">
      <c r="C122" s="156">
        <f t="shared" si="2"/>
        <v>3</v>
      </c>
      <c r="D122" s="46">
        <f t="shared" si="3"/>
        <v>0.88899635867091487</v>
      </c>
      <c r="E122" s="46"/>
      <c r="F122" s="46"/>
      <c r="G122" s="60"/>
      <c r="H122" s="19"/>
      <c r="J122" s="19"/>
      <c r="K122" s="19"/>
    </row>
    <row r="123" spans="1:11" hidden="1" x14ac:dyDescent="0.25">
      <c r="A123" s="24"/>
      <c r="B123" s="18"/>
      <c r="C123" s="156">
        <f t="shared" si="2"/>
        <v>4</v>
      </c>
      <c r="D123" s="46">
        <f t="shared" si="3"/>
        <v>0.85480419102972571</v>
      </c>
      <c r="E123" s="46"/>
      <c r="F123" s="46"/>
      <c r="G123" s="60"/>
      <c r="H123" s="19"/>
      <c r="J123" s="19"/>
      <c r="K123" s="19"/>
    </row>
    <row r="124" spans="1:11" hidden="1" x14ac:dyDescent="0.25">
      <c r="A124" s="24"/>
      <c r="B124" s="18"/>
      <c r="C124" s="156">
        <f t="shared" si="2"/>
        <v>5</v>
      </c>
      <c r="D124" s="46">
        <f t="shared" si="3"/>
        <v>0.82192710675935154</v>
      </c>
      <c r="E124" s="46"/>
      <c r="F124" s="46"/>
      <c r="G124" s="60"/>
      <c r="H124" s="19"/>
      <c r="J124" s="19"/>
      <c r="K124" s="19"/>
    </row>
    <row r="125" spans="1:11" hidden="1" x14ac:dyDescent="0.25">
      <c r="A125" s="24"/>
      <c r="B125" s="18"/>
      <c r="C125" s="156">
        <f t="shared" si="2"/>
        <v>6</v>
      </c>
      <c r="D125" s="46">
        <f t="shared" si="3"/>
        <v>0.79031452573014571</v>
      </c>
      <c r="E125" s="46"/>
      <c r="F125" s="46"/>
      <c r="G125" s="60"/>
      <c r="H125" s="19"/>
      <c r="J125" s="19"/>
      <c r="K125" s="19"/>
    </row>
    <row r="126" spans="1:11" hidden="1" x14ac:dyDescent="0.25">
      <c r="A126" s="24"/>
      <c r="B126" s="18"/>
      <c r="C126" s="156">
        <f t="shared" si="2"/>
        <v>7</v>
      </c>
      <c r="D126" s="46">
        <f t="shared" si="3"/>
        <v>0.75991781320206331</v>
      </c>
      <c r="E126" s="46"/>
      <c r="F126" s="46"/>
      <c r="G126" s="60"/>
      <c r="H126" s="19"/>
      <c r="J126" s="19"/>
      <c r="K126" s="19"/>
    </row>
    <row r="127" spans="1:11" hidden="1" x14ac:dyDescent="0.25">
      <c r="A127" s="24"/>
      <c r="B127" s="18"/>
      <c r="C127" s="156">
        <f t="shared" si="2"/>
        <v>8</v>
      </c>
      <c r="D127" s="46">
        <f t="shared" si="3"/>
        <v>0.73069020500198378</v>
      </c>
      <c r="E127" s="46"/>
      <c r="F127" s="46"/>
      <c r="G127" s="60"/>
      <c r="H127" s="19"/>
      <c r="J127" s="19"/>
      <c r="K127" s="19"/>
    </row>
    <row r="128" spans="1:11" hidden="1" x14ac:dyDescent="0.25">
      <c r="A128" s="24"/>
      <c r="B128" s="18"/>
      <c r="C128" s="156">
        <f t="shared" si="2"/>
        <v>9</v>
      </c>
      <c r="D128" s="46">
        <f t="shared" si="3"/>
        <v>0.70258673557883045</v>
      </c>
      <c r="E128" s="46"/>
      <c r="F128" s="46"/>
      <c r="G128" s="60"/>
      <c r="H128" s="19"/>
      <c r="J128" s="19"/>
      <c r="K128" s="19"/>
    </row>
    <row r="129" spans="1:11" hidden="1" x14ac:dyDescent="0.25">
      <c r="A129" s="24"/>
      <c r="B129" s="18"/>
      <c r="C129" s="156">
        <f t="shared" si="2"/>
        <v>10</v>
      </c>
      <c r="D129" s="46">
        <f t="shared" si="3"/>
        <v>0.67556416882579851</v>
      </c>
      <c r="E129" s="46"/>
      <c r="F129" s="46"/>
      <c r="G129" s="60"/>
      <c r="H129" s="19"/>
      <c r="J129" s="19"/>
      <c r="K129" s="19"/>
    </row>
    <row r="130" spans="1:11" hidden="1" x14ac:dyDescent="0.25">
      <c r="A130" s="24"/>
      <c r="B130" s="18"/>
      <c r="C130" s="156">
        <f t="shared" si="2"/>
        <v>11</v>
      </c>
      <c r="D130" s="46">
        <f t="shared" si="3"/>
        <v>0.6495809315632679</v>
      </c>
      <c r="E130" s="46"/>
      <c r="F130" s="46"/>
      <c r="G130" s="60"/>
      <c r="H130" s="19"/>
      <c r="J130" s="19"/>
      <c r="K130" s="19"/>
    </row>
    <row r="131" spans="1:11" hidden="1" x14ac:dyDescent="0.25">
      <c r="A131" s="24"/>
      <c r="B131" s="18"/>
      <c r="C131" s="156">
        <f t="shared" si="2"/>
        <v>12</v>
      </c>
      <c r="D131" s="46">
        <f t="shared" si="3"/>
        <v>0.62459704958006512</v>
      </c>
      <c r="E131" s="46"/>
      <c r="F131" s="46"/>
      <c r="G131" s="60"/>
      <c r="H131" s="19"/>
      <c r="J131" s="19"/>
      <c r="K131" s="19"/>
    </row>
    <row r="132" spans="1:11" hidden="1" x14ac:dyDescent="0.25">
      <c r="A132" s="24"/>
      <c r="B132" s="18"/>
      <c r="C132" s="156">
        <f t="shared" si="2"/>
        <v>13</v>
      </c>
      <c r="D132" s="46">
        <f t="shared" si="3"/>
        <v>0.600574086134678</v>
      </c>
      <c r="E132" s="46"/>
      <c r="F132" s="46"/>
      <c r="G132" s="60"/>
      <c r="H132" s="19"/>
      <c r="J132" s="19"/>
      <c r="K132" s="19"/>
    </row>
    <row r="133" spans="1:11" hidden="1" x14ac:dyDescent="0.25">
      <c r="A133" s="24"/>
      <c r="B133" s="18"/>
      <c r="C133" s="156">
        <f t="shared" si="2"/>
        <v>14</v>
      </c>
      <c r="D133" s="46">
        <f t="shared" si="3"/>
        <v>0.57747508282180582</v>
      </c>
      <c r="E133" s="46"/>
      <c r="F133" s="46"/>
      <c r="G133" s="60"/>
      <c r="H133" s="19"/>
      <c r="J133" s="19"/>
      <c r="K133" s="19"/>
    </row>
    <row r="134" spans="1:11" hidden="1" x14ac:dyDescent="0.25">
      <c r="A134" s="24"/>
      <c r="B134" s="18"/>
      <c r="C134" s="156">
        <f t="shared" si="2"/>
        <v>15</v>
      </c>
      <c r="D134" s="46">
        <f t="shared" si="3"/>
        <v>0.55526450271327477</v>
      </c>
      <c r="E134" s="46"/>
      <c r="F134" s="46"/>
      <c r="G134" s="60"/>
      <c r="H134" s="19"/>
      <c r="J134" s="19"/>
      <c r="K134" s="19"/>
    </row>
    <row r="135" spans="1:11" hidden="1" x14ac:dyDescent="0.25">
      <c r="A135" s="24"/>
      <c r="B135" s="18"/>
      <c r="C135" s="156">
        <f t="shared" si="2"/>
        <v>16</v>
      </c>
      <c r="D135" s="46">
        <f t="shared" si="3"/>
        <v>0.53390817568584104</v>
      </c>
      <c r="E135" s="46"/>
      <c r="F135" s="46"/>
      <c r="G135" s="60"/>
      <c r="H135" s="19"/>
      <c r="J135" s="19"/>
      <c r="K135" s="19"/>
    </row>
    <row r="136" spans="1:11" hidden="1" x14ac:dyDescent="0.25">
      <c r="A136" s="24"/>
      <c r="B136" s="18"/>
      <c r="C136" s="156">
        <f t="shared" si="2"/>
        <v>17</v>
      </c>
      <c r="D136" s="46">
        <f t="shared" si="3"/>
        <v>0.51337324585177024</v>
      </c>
      <c r="E136" s="46"/>
      <c r="F136" s="46"/>
      <c r="G136" s="60"/>
      <c r="H136" s="19"/>
      <c r="J136" s="19"/>
      <c r="K136" s="19"/>
    </row>
    <row r="137" spans="1:11" hidden="1" x14ac:dyDescent="0.25">
      <c r="A137" s="24"/>
      <c r="B137" s="18"/>
      <c r="C137" s="156">
        <f t="shared" si="2"/>
        <v>18</v>
      </c>
      <c r="D137" s="46">
        <f t="shared" si="3"/>
        <v>0.49362812101131748</v>
      </c>
      <c r="E137" s="46"/>
      <c r="F137" s="46"/>
      <c r="G137" s="60"/>
      <c r="H137" s="19"/>
      <c r="J137" s="19"/>
      <c r="K137" s="19"/>
    </row>
    <row r="138" spans="1:11" hidden="1" x14ac:dyDescent="0.25">
      <c r="A138" s="24"/>
      <c r="B138" s="18"/>
      <c r="C138" s="156">
        <f t="shared" si="2"/>
        <v>19</v>
      </c>
      <c r="D138" s="46">
        <f t="shared" si="3"/>
        <v>0.47464242404934376</v>
      </c>
      <c r="E138" s="46"/>
      <c r="F138" s="46"/>
      <c r="G138" s="60"/>
      <c r="H138" s="19"/>
      <c r="J138" s="19"/>
      <c r="K138" s="19"/>
    </row>
    <row r="139" spans="1:11" hidden="1" x14ac:dyDescent="0.25">
      <c r="A139" s="24"/>
      <c r="B139" s="18"/>
      <c r="C139" s="156">
        <f t="shared" si="2"/>
        <v>20</v>
      </c>
      <c r="D139" s="46">
        <f t="shared" si="3"/>
        <v>0.45638694620129205</v>
      </c>
      <c r="E139" s="46"/>
      <c r="F139" s="46"/>
      <c r="G139" s="60"/>
      <c r="H139" s="19"/>
      <c r="J139" s="19"/>
      <c r="K139" s="19"/>
    </row>
    <row r="140" spans="1:11" hidden="1" x14ac:dyDescent="0.25">
      <c r="A140" s="24"/>
      <c r="B140" s="18"/>
      <c r="C140" s="156">
        <f t="shared" si="2"/>
        <v>21</v>
      </c>
      <c r="D140" s="46">
        <f t="shared" si="3"/>
        <v>0.43883360211662686</v>
      </c>
      <c r="E140" s="46"/>
      <c r="F140" s="46"/>
      <c r="G140" s="60"/>
      <c r="H140" s="19"/>
      <c r="J140" s="19"/>
      <c r="K140" s="19"/>
    </row>
    <row r="141" spans="1:11" hidden="1" x14ac:dyDescent="0.25">
      <c r="A141" s="24"/>
      <c r="B141" s="18"/>
      <c r="C141" s="156">
        <f t="shared" si="2"/>
        <v>22</v>
      </c>
      <c r="D141" s="46">
        <f t="shared" si="3"/>
        <v>0.42195538665060278</v>
      </c>
      <c r="E141" s="46"/>
      <c r="F141" s="46"/>
      <c r="G141" s="60"/>
      <c r="H141" s="19"/>
      <c r="J141" s="19"/>
      <c r="K141" s="19"/>
    </row>
    <row r="142" spans="1:11" hidden="1" x14ac:dyDescent="0.25">
      <c r="A142" s="24"/>
      <c r="B142" s="18"/>
      <c r="C142" s="156">
        <f t="shared" si="2"/>
        <v>23</v>
      </c>
      <c r="D142" s="46">
        <f t="shared" si="3"/>
        <v>0.40572633331788732</v>
      </c>
      <c r="E142" s="46"/>
      <c r="F142" s="46"/>
      <c r="G142" s="60"/>
      <c r="H142" s="19"/>
      <c r="J142" s="19"/>
      <c r="K142" s="19"/>
    </row>
    <row r="143" spans="1:11" hidden="1" x14ac:dyDescent="0.25">
      <c r="A143" s="24"/>
      <c r="B143" s="18"/>
      <c r="C143" s="156">
        <f t="shared" si="2"/>
        <v>24</v>
      </c>
      <c r="D143" s="46">
        <f t="shared" si="3"/>
        <v>0.39012147434412242</v>
      </c>
      <c r="E143" s="46"/>
      <c r="F143" s="46"/>
      <c r="G143" s="60"/>
      <c r="H143" s="19"/>
      <c r="J143" s="19"/>
      <c r="K143" s="19"/>
    </row>
    <row r="144" spans="1:11" hidden="1" x14ac:dyDescent="0.25">
      <c r="A144" s="24"/>
      <c r="B144" s="18"/>
      <c r="C144" s="156">
        <f t="shared" si="2"/>
        <v>25</v>
      </c>
      <c r="D144" s="46">
        <f t="shared" si="3"/>
        <v>0.37511680225396377</v>
      </c>
      <c r="E144" s="46"/>
      <c r="F144" s="46"/>
      <c r="G144" s="60"/>
      <c r="H144" s="19"/>
      <c r="J144" s="19"/>
      <c r="K144" s="19"/>
    </row>
    <row r="145" spans="1:16" hidden="1" x14ac:dyDescent="0.25">
      <c r="A145" s="24"/>
      <c r="B145" s="18"/>
      <c r="G145" s="61"/>
      <c r="H145" s="32"/>
    </row>
    <row r="146" spans="1:16" hidden="1" x14ac:dyDescent="0.25">
      <c r="E146" s="143" t="s">
        <v>433</v>
      </c>
      <c r="H146" s="143" t="s">
        <v>434</v>
      </c>
      <c r="J146" s="57"/>
    </row>
    <row r="147" spans="1:16" hidden="1" x14ac:dyDescent="0.25">
      <c r="C147" s="141" t="s">
        <v>49</v>
      </c>
      <c r="D147" s="142" t="s">
        <v>47</v>
      </c>
      <c r="E147" s="143" t="s">
        <v>874</v>
      </c>
      <c r="F147" s="45"/>
      <c r="G147" s="45" t="s">
        <v>50</v>
      </c>
      <c r="H147" s="457" t="s">
        <v>51</v>
      </c>
      <c r="I147" s="45"/>
      <c r="J147" s="45" t="s">
        <v>50</v>
      </c>
      <c r="K147" s="45" t="s">
        <v>50</v>
      </c>
    </row>
    <row r="148" spans="1:16" hidden="1" x14ac:dyDescent="0.25">
      <c r="C148" s="141"/>
      <c r="D148" s="137">
        <v>0</v>
      </c>
      <c r="E148" s="238">
        <v>1</v>
      </c>
      <c r="F148" s="47">
        <v>1</v>
      </c>
      <c r="G148" s="19"/>
      <c r="H148" s="238">
        <v>1</v>
      </c>
      <c r="I148" s="47">
        <v>1</v>
      </c>
      <c r="J148" s="462">
        <f>F148</f>
        <v>1</v>
      </c>
    </row>
    <row r="149" spans="1:16" hidden="1" x14ac:dyDescent="0.25">
      <c r="C149" s="141">
        <f>SUM(D$120:D120)</f>
        <v>0.96153846153846145</v>
      </c>
      <c r="D149" s="141">
        <v>1</v>
      </c>
      <c r="E149" s="238">
        <f t="shared" ref="E149:E173" si="4">((100+$D$35)/100)^C120</f>
        <v>1.05</v>
      </c>
      <c r="F149" s="47">
        <f>E149*D120</f>
        <v>1.0096153846153846</v>
      </c>
      <c r="G149" s="458">
        <f>SUM(F$149:F149)</f>
        <v>1.0096153846153846</v>
      </c>
      <c r="H149" s="238">
        <f>((100+$D$47)/100)^C120</f>
        <v>1.05</v>
      </c>
      <c r="I149" s="47">
        <f>H149*D120</f>
        <v>1.0096153846153846</v>
      </c>
      <c r="J149" s="462">
        <f>SUM(I$149:I149)</f>
        <v>1.0096153846153846</v>
      </c>
    </row>
    <row r="150" spans="1:16" hidden="1" x14ac:dyDescent="0.25">
      <c r="C150" s="141">
        <f>SUM(D$120:D121)</f>
        <v>1.8860946745562128</v>
      </c>
      <c r="D150" s="141">
        <f t="shared" ref="D150:D173" si="5">D149+1</f>
        <v>2</v>
      </c>
      <c r="E150" s="238">
        <f t="shared" si="4"/>
        <v>1.1025</v>
      </c>
      <c r="F150" s="47">
        <f t="shared" ref="F150:F173" si="6">E150*D121</f>
        <v>1.0193232248520709</v>
      </c>
      <c r="G150" s="458">
        <f>SUM(F$149:F150)</f>
        <v>2.0289386094674553</v>
      </c>
      <c r="H150" s="238">
        <f>((100+$D$47)/100)^C121</f>
        <v>1.1025</v>
      </c>
      <c r="I150" s="47">
        <f t="shared" ref="I150:I173" si="7">H150*D121</f>
        <v>1.0193232248520709</v>
      </c>
      <c r="J150" s="462">
        <f>SUM(I$149:I150)</f>
        <v>2.0289386094674553</v>
      </c>
    </row>
    <row r="151" spans="1:16" hidden="1" x14ac:dyDescent="0.25">
      <c r="C151" s="141">
        <f>SUM(D$120:D122)</f>
        <v>2.7750910332271275</v>
      </c>
      <c r="D151" s="141">
        <f t="shared" si="5"/>
        <v>3</v>
      </c>
      <c r="E151" s="238">
        <f t="shared" si="4"/>
        <v>1.1576250000000001</v>
      </c>
      <c r="F151" s="47">
        <f t="shared" si="6"/>
        <v>1.0291244097064178</v>
      </c>
      <c r="G151" s="458">
        <f>SUM(F$149:F151)</f>
        <v>3.0580630191738729</v>
      </c>
      <c r="H151" s="238">
        <f t="shared" ref="H151:H173" si="8">((100+$D$47)/100)^C122</f>
        <v>1.1576250000000001</v>
      </c>
      <c r="I151" s="47">
        <f t="shared" si="7"/>
        <v>1.0291244097064178</v>
      </c>
      <c r="J151" s="462">
        <f>SUM(I$149:I151)</f>
        <v>3.0580630191738729</v>
      </c>
    </row>
    <row r="152" spans="1:16" hidden="1" x14ac:dyDescent="0.25">
      <c r="C152" s="141">
        <f>SUM(D$120:D123)</f>
        <v>3.6298952242568534</v>
      </c>
      <c r="D152" s="141">
        <f t="shared" si="5"/>
        <v>4</v>
      </c>
      <c r="E152" s="238">
        <f t="shared" si="4"/>
        <v>1.21550625</v>
      </c>
      <c r="F152" s="47">
        <f t="shared" si="6"/>
        <v>1.0390198367228256</v>
      </c>
      <c r="G152" s="458">
        <f>SUM(F$149:F152)</f>
        <v>4.0970828558966987</v>
      </c>
      <c r="H152" s="238">
        <f t="shared" si="8"/>
        <v>1.21550625</v>
      </c>
      <c r="I152" s="47">
        <f t="shared" si="7"/>
        <v>1.0390198367228256</v>
      </c>
      <c r="J152" s="462">
        <f>SUM(I$149:I152)</f>
        <v>4.0970828558966987</v>
      </c>
    </row>
    <row r="153" spans="1:16" hidden="1" x14ac:dyDescent="0.25">
      <c r="C153" s="141">
        <f>SUM(D$120:D124)</f>
        <v>4.4518223310162046</v>
      </c>
      <c r="D153" s="141">
        <f t="shared" si="5"/>
        <v>5</v>
      </c>
      <c r="E153" s="238">
        <f t="shared" si="4"/>
        <v>1.2762815625000001</v>
      </c>
      <c r="F153" s="47">
        <f t="shared" si="6"/>
        <v>1.0490104120759296</v>
      </c>
      <c r="G153" s="458">
        <f>SUM(F$149:F153)</f>
        <v>5.1460932679726286</v>
      </c>
      <c r="H153" s="238">
        <f t="shared" si="8"/>
        <v>1.2762815625000001</v>
      </c>
      <c r="I153" s="47">
        <f t="shared" si="7"/>
        <v>1.0490104120759296</v>
      </c>
      <c r="J153" s="462">
        <f>SUM(I$149:I153)</f>
        <v>5.1460932679726286</v>
      </c>
    </row>
    <row r="154" spans="1:16" hidden="1" x14ac:dyDescent="0.25">
      <c r="C154" s="141">
        <f>SUM(D$120:D125)</f>
        <v>5.2421368567463507</v>
      </c>
      <c r="D154" s="141">
        <f t="shared" si="5"/>
        <v>6</v>
      </c>
      <c r="E154" s="238">
        <f t="shared" si="4"/>
        <v>1.340095640625</v>
      </c>
      <c r="F154" s="47">
        <f t="shared" si="6"/>
        <v>1.0590970506535826</v>
      </c>
      <c r="G154" s="458">
        <f>SUM(F$149:F154)</f>
        <v>6.2051903186262116</v>
      </c>
      <c r="H154" s="238">
        <f t="shared" si="8"/>
        <v>1.340095640625</v>
      </c>
      <c r="I154" s="47">
        <f t="shared" si="7"/>
        <v>1.0590970506535826</v>
      </c>
      <c r="J154" s="462">
        <f>SUM(I$149:I154)</f>
        <v>6.2051903186262116</v>
      </c>
    </row>
    <row r="155" spans="1:16" s="18" customFormat="1" hidden="1" x14ac:dyDescent="0.25">
      <c r="A155" s="147"/>
      <c r="B155" s="147"/>
      <c r="C155" s="141">
        <f>SUM(D$120:D126)</f>
        <v>6.0020546699484143</v>
      </c>
      <c r="D155" s="141">
        <f t="shared" si="5"/>
        <v>7</v>
      </c>
      <c r="E155" s="238">
        <f t="shared" si="4"/>
        <v>1.4071004226562502</v>
      </c>
      <c r="F155" s="47">
        <f t="shared" si="6"/>
        <v>1.0692806761406366</v>
      </c>
      <c r="G155" s="458">
        <f>SUM(F$149:F155)</f>
        <v>7.2744709947668484</v>
      </c>
      <c r="H155" s="238">
        <f t="shared" si="8"/>
        <v>1.4071004226562502</v>
      </c>
      <c r="I155" s="47">
        <f t="shared" si="7"/>
        <v>1.0692806761406366</v>
      </c>
      <c r="J155" s="462">
        <f>SUM(I$149:I155)</f>
        <v>7.2744709947668484</v>
      </c>
      <c r="K155" s="48"/>
      <c r="L155" s="228"/>
      <c r="M155" s="228"/>
      <c r="N155" s="228"/>
      <c r="O155" s="228"/>
      <c r="P155" s="228"/>
    </row>
    <row r="156" spans="1:16" s="18" customFormat="1" hidden="1" x14ac:dyDescent="0.25">
      <c r="A156" s="147"/>
      <c r="B156" s="147"/>
      <c r="C156" s="141">
        <f>SUM(D$120:D127)</f>
        <v>6.7327448749503978</v>
      </c>
      <c r="D156" s="141">
        <f t="shared" si="5"/>
        <v>8</v>
      </c>
      <c r="E156" s="238">
        <f t="shared" si="4"/>
        <v>1.4774554437890626</v>
      </c>
      <c r="F156" s="47">
        <f t="shared" si="6"/>
        <v>1.079562221103527</v>
      </c>
      <c r="G156" s="458">
        <f>SUM(F$149:F156)</f>
        <v>8.3540332158703752</v>
      </c>
      <c r="H156" s="238">
        <f t="shared" si="8"/>
        <v>1.4774554437890626</v>
      </c>
      <c r="I156" s="47">
        <f t="shared" si="7"/>
        <v>1.079562221103527</v>
      </c>
      <c r="J156" s="462">
        <f>SUM(I$149:I156)</f>
        <v>8.3540332158703752</v>
      </c>
      <c r="K156" s="48"/>
      <c r="L156" s="228"/>
      <c r="M156" s="228"/>
      <c r="N156" s="228"/>
      <c r="O156" s="228"/>
      <c r="P156" s="228"/>
    </row>
    <row r="157" spans="1:16" s="18" customFormat="1" hidden="1" x14ac:dyDescent="0.25">
      <c r="A157" s="147"/>
      <c r="B157" s="147"/>
      <c r="C157" s="141">
        <f>SUM(D$120:D128)</f>
        <v>7.4353316105292286</v>
      </c>
      <c r="D157" s="141">
        <f t="shared" si="5"/>
        <v>9</v>
      </c>
      <c r="E157" s="238">
        <f t="shared" si="4"/>
        <v>1.5513282159785158</v>
      </c>
      <c r="F157" s="47">
        <f t="shared" si="6"/>
        <v>1.0899426270756762</v>
      </c>
      <c r="G157" s="458">
        <f>SUM(F$149:F157)</f>
        <v>9.4439758429460507</v>
      </c>
      <c r="H157" s="238">
        <f t="shared" si="8"/>
        <v>1.5513282159785158</v>
      </c>
      <c r="I157" s="47">
        <f t="shared" si="7"/>
        <v>1.0899426270756762</v>
      </c>
      <c r="J157" s="462">
        <f>SUM(I$149:I157)</f>
        <v>9.4439758429460507</v>
      </c>
      <c r="K157" s="48"/>
      <c r="L157" s="228"/>
      <c r="M157" s="228"/>
      <c r="N157" s="228"/>
      <c r="O157" s="228"/>
      <c r="P157" s="228"/>
    </row>
    <row r="158" spans="1:16" s="18" customFormat="1" hidden="1" x14ac:dyDescent="0.25">
      <c r="A158" s="147"/>
      <c r="B158" s="147"/>
      <c r="C158" s="141">
        <f>SUM(D$120:D129)</f>
        <v>8.1108957793550278</v>
      </c>
      <c r="D158" s="141">
        <f t="shared" si="5"/>
        <v>10</v>
      </c>
      <c r="E158" s="238">
        <f t="shared" si="4"/>
        <v>1.6288946267774416</v>
      </c>
      <c r="F158" s="47">
        <f t="shared" si="6"/>
        <v>1.1004228446437117</v>
      </c>
      <c r="G158" s="458">
        <f>SUM(F$149:F158)</f>
        <v>10.544398687589762</v>
      </c>
      <c r="H158" s="238">
        <f t="shared" si="8"/>
        <v>1.6288946267774416</v>
      </c>
      <c r="I158" s="47">
        <f t="shared" si="7"/>
        <v>1.1004228446437117</v>
      </c>
      <c r="J158" s="462">
        <f>SUM(I$149:I158)</f>
        <v>10.544398687589762</v>
      </c>
      <c r="K158" s="48"/>
      <c r="L158" s="228"/>
      <c r="M158" s="228"/>
      <c r="N158" s="228"/>
      <c r="O158" s="228"/>
      <c r="P158" s="228"/>
    </row>
    <row r="159" spans="1:16" s="18" customFormat="1" hidden="1" x14ac:dyDescent="0.25">
      <c r="A159" s="147"/>
      <c r="B159" s="147"/>
      <c r="C159" s="141">
        <f>SUM(D$120:D130)</f>
        <v>8.7604767109182955</v>
      </c>
      <c r="D159" s="141">
        <f t="shared" si="5"/>
        <v>11</v>
      </c>
      <c r="E159" s="238">
        <f t="shared" si="4"/>
        <v>1.7103393581163138</v>
      </c>
      <c r="F159" s="47">
        <f t="shared" si="6"/>
        <v>1.1110038335345167</v>
      </c>
      <c r="G159" s="458">
        <f>SUM(F$149:F159)</f>
        <v>11.655402521124278</v>
      </c>
      <c r="H159" s="238">
        <f t="shared" si="8"/>
        <v>1.7103393581163138</v>
      </c>
      <c r="I159" s="47">
        <f t="shared" si="7"/>
        <v>1.1110038335345167</v>
      </c>
      <c r="J159" s="462">
        <f>SUM(I$149:I159)</f>
        <v>11.655402521124278</v>
      </c>
      <c r="K159" s="48"/>
      <c r="L159" s="228"/>
      <c r="M159" s="228"/>
      <c r="N159" s="228"/>
      <c r="O159" s="228"/>
      <c r="P159" s="228"/>
    </row>
    <row r="160" spans="1:16" s="18" customFormat="1" hidden="1" x14ac:dyDescent="0.25">
      <c r="A160" s="147"/>
      <c r="B160" s="147"/>
      <c r="C160" s="141">
        <f>SUM(D$120:D131)</f>
        <v>9.3850737604983614</v>
      </c>
      <c r="D160" s="141">
        <f t="shared" si="5"/>
        <v>12</v>
      </c>
      <c r="E160" s="238">
        <f t="shared" si="4"/>
        <v>1.7958563260221292</v>
      </c>
      <c r="F160" s="47">
        <f t="shared" si="6"/>
        <v>1.1216865627031174</v>
      </c>
      <c r="G160" s="458">
        <f>SUM(F$149:F160)</f>
        <v>12.777089083827395</v>
      </c>
      <c r="H160" s="238">
        <f t="shared" si="8"/>
        <v>1.7958563260221292</v>
      </c>
      <c r="I160" s="47">
        <f t="shared" si="7"/>
        <v>1.1216865627031174</v>
      </c>
      <c r="J160" s="462">
        <f>SUM(I$149:I160)</f>
        <v>12.777089083827395</v>
      </c>
      <c r="K160" s="48"/>
      <c r="L160" s="228"/>
      <c r="M160" s="228"/>
      <c r="N160" s="228"/>
      <c r="O160" s="228"/>
      <c r="P160" s="228"/>
    </row>
    <row r="161" spans="1:16" s="18" customFormat="1" hidden="1" x14ac:dyDescent="0.25">
      <c r="A161" s="147"/>
      <c r="B161" s="147"/>
      <c r="C161" s="141">
        <f>SUM(D$120:D132)</f>
        <v>9.9856478466330394</v>
      </c>
      <c r="D161" s="141">
        <f t="shared" si="5"/>
        <v>13</v>
      </c>
      <c r="E161" s="238">
        <f t="shared" si="4"/>
        <v>1.885649142323236</v>
      </c>
      <c r="F161" s="47">
        <f t="shared" si="6"/>
        <v>1.1324720104214168</v>
      </c>
      <c r="G161" s="458">
        <f>SUM(F$149:F161)</f>
        <v>13.909561094248811</v>
      </c>
      <c r="H161" s="238">
        <f t="shared" si="8"/>
        <v>1.885649142323236</v>
      </c>
      <c r="I161" s="47">
        <f t="shared" si="7"/>
        <v>1.1324720104214168</v>
      </c>
      <c r="J161" s="462">
        <f>SUM(I$149:I161)</f>
        <v>13.909561094248811</v>
      </c>
      <c r="K161" s="48"/>
      <c r="L161" s="228"/>
      <c r="M161" s="228"/>
      <c r="N161" s="228"/>
      <c r="O161" s="228"/>
      <c r="P161" s="228"/>
    </row>
    <row r="162" spans="1:16" s="18" customFormat="1" hidden="1" x14ac:dyDescent="0.25">
      <c r="A162" s="147"/>
      <c r="B162" s="147"/>
      <c r="C162" s="141">
        <f>SUM(D$120:D133)</f>
        <v>10.563122929454845</v>
      </c>
      <c r="D162" s="141">
        <f t="shared" si="5"/>
        <v>14</v>
      </c>
      <c r="E162" s="238">
        <f t="shared" si="4"/>
        <v>1.9799315994393973</v>
      </c>
      <c r="F162" s="47">
        <f t="shared" si="6"/>
        <v>1.1433611643677764</v>
      </c>
      <c r="G162" s="458">
        <f>SUM(F$149:F162)</f>
        <v>15.052922258616588</v>
      </c>
      <c r="H162" s="238">
        <f t="shared" si="8"/>
        <v>1.9799315994393973</v>
      </c>
      <c r="I162" s="47">
        <f t="shared" si="7"/>
        <v>1.1433611643677764</v>
      </c>
      <c r="J162" s="462">
        <f>SUM(I$149:I162)</f>
        <v>15.052922258616588</v>
      </c>
      <c r="K162" s="48"/>
      <c r="L162" s="228"/>
      <c r="M162" s="228"/>
      <c r="N162" s="228"/>
      <c r="O162" s="228"/>
      <c r="P162" s="228"/>
    </row>
    <row r="163" spans="1:16" s="18" customFormat="1" hidden="1" x14ac:dyDescent="0.25">
      <c r="A163" s="147"/>
      <c r="B163" s="147"/>
      <c r="C163" s="141">
        <f>SUM(D$120:D134)</f>
        <v>11.11838743216812</v>
      </c>
      <c r="D163" s="141">
        <f t="shared" si="5"/>
        <v>15</v>
      </c>
      <c r="E163" s="238">
        <f t="shared" si="4"/>
        <v>2.0789281794113679</v>
      </c>
      <c r="F163" s="47">
        <f t="shared" si="6"/>
        <v>1.1543550217174667</v>
      </c>
      <c r="G163" s="458">
        <f>SUM(F$149:F163)</f>
        <v>16.207277280334054</v>
      </c>
      <c r="H163" s="238">
        <f t="shared" si="8"/>
        <v>2.0789281794113679</v>
      </c>
      <c r="I163" s="47">
        <f t="shared" si="7"/>
        <v>1.1543550217174667</v>
      </c>
      <c r="J163" s="462">
        <f>SUM(I$149:I163)</f>
        <v>16.207277280334054</v>
      </c>
      <c r="K163" s="48"/>
      <c r="L163" s="228"/>
      <c r="M163" s="228"/>
      <c r="N163" s="228"/>
      <c r="O163" s="228"/>
      <c r="P163" s="228"/>
    </row>
    <row r="164" spans="1:16" s="18" customFormat="1" hidden="1" x14ac:dyDescent="0.25">
      <c r="A164" s="147"/>
      <c r="B164" s="147"/>
      <c r="C164" s="141">
        <f>SUM(D$120:D135)</f>
        <v>11.652295607853961</v>
      </c>
      <c r="D164" s="141">
        <f t="shared" si="5"/>
        <v>16</v>
      </c>
      <c r="E164" s="238">
        <f t="shared" si="4"/>
        <v>2.182874588381936</v>
      </c>
      <c r="F164" s="47">
        <f t="shared" si="6"/>
        <v>1.1654545892339807</v>
      </c>
      <c r="G164" s="458">
        <f>SUM(F$149:F164)</f>
        <v>17.372731869568035</v>
      </c>
      <c r="H164" s="238">
        <f t="shared" si="8"/>
        <v>2.182874588381936</v>
      </c>
      <c r="I164" s="47">
        <f t="shared" si="7"/>
        <v>1.1654545892339807</v>
      </c>
      <c r="J164" s="462">
        <f>SUM(I$149:I164)</f>
        <v>17.372731869568035</v>
      </c>
      <c r="K164" s="48"/>
      <c r="L164" s="228"/>
      <c r="M164" s="228"/>
      <c r="N164" s="228"/>
      <c r="O164" s="228"/>
      <c r="P164" s="228"/>
    </row>
    <row r="165" spans="1:16" s="18" customFormat="1" hidden="1" x14ac:dyDescent="0.25">
      <c r="A165" s="147"/>
      <c r="B165" s="147"/>
      <c r="C165" s="141">
        <f>SUM(D$120:D136)</f>
        <v>12.165668853705732</v>
      </c>
      <c r="D165" s="141">
        <f t="shared" si="5"/>
        <v>17</v>
      </c>
      <c r="E165" s="238">
        <f t="shared" si="4"/>
        <v>2.2920183178010332</v>
      </c>
      <c r="F165" s="47">
        <f t="shared" si="6"/>
        <v>1.1766608833612306</v>
      </c>
      <c r="G165" s="458">
        <f>SUM(F$149:F165)</f>
        <v>18.549392752929265</v>
      </c>
      <c r="H165" s="238">
        <f t="shared" si="8"/>
        <v>2.2920183178010332</v>
      </c>
      <c r="I165" s="47">
        <f t="shared" si="7"/>
        <v>1.1766608833612306</v>
      </c>
      <c r="J165" s="462">
        <f>SUM(I$149:I165)</f>
        <v>18.549392752929265</v>
      </c>
      <c r="K165" s="48"/>
      <c r="L165" s="228"/>
      <c r="M165" s="228"/>
      <c r="N165" s="228"/>
      <c r="O165" s="228"/>
      <c r="P165" s="228"/>
    </row>
    <row r="166" spans="1:16" s="18" customFormat="1" hidden="1" x14ac:dyDescent="0.25">
      <c r="A166" s="147"/>
      <c r="B166" s="147"/>
      <c r="C166" s="141">
        <f>SUM(D$120:D137)</f>
        <v>12.65929697471705</v>
      </c>
      <c r="D166" s="141">
        <f t="shared" si="5"/>
        <v>18</v>
      </c>
      <c r="E166" s="238">
        <f t="shared" si="4"/>
        <v>2.4066192336910848</v>
      </c>
      <c r="F166" s="47">
        <f t="shared" si="6"/>
        <v>1.1879749303166269</v>
      </c>
      <c r="G166" s="458">
        <f>SUM(F$149:F166)</f>
        <v>19.737367683245893</v>
      </c>
      <c r="H166" s="238">
        <f t="shared" si="8"/>
        <v>2.4066192336910848</v>
      </c>
      <c r="I166" s="47">
        <f t="shared" si="7"/>
        <v>1.1879749303166269</v>
      </c>
      <c r="J166" s="462">
        <f>SUM(I$149:I166)</f>
        <v>19.737367683245893</v>
      </c>
      <c r="K166" s="48"/>
      <c r="L166" s="228"/>
      <c r="M166" s="228"/>
      <c r="N166" s="228"/>
      <c r="O166" s="228"/>
      <c r="P166" s="228"/>
    </row>
    <row r="167" spans="1:16" s="18" customFormat="1" hidden="1" x14ac:dyDescent="0.25">
      <c r="A167" s="147"/>
      <c r="B167" s="147"/>
      <c r="C167" s="141">
        <f>SUM(D$120:D138)</f>
        <v>13.133939398766394</v>
      </c>
      <c r="D167" s="141">
        <f t="shared" si="5"/>
        <v>19</v>
      </c>
      <c r="E167" s="238">
        <f t="shared" si="4"/>
        <v>2.526950195375639</v>
      </c>
      <c r="F167" s="47">
        <f t="shared" si="6"/>
        <v>1.1993977661850561</v>
      </c>
      <c r="G167" s="458">
        <f>SUM(F$149:F167)</f>
        <v>20.936765449430951</v>
      </c>
      <c r="H167" s="238">
        <f t="shared" si="8"/>
        <v>2.526950195375639</v>
      </c>
      <c r="I167" s="47">
        <f t="shared" si="7"/>
        <v>1.1993977661850561</v>
      </c>
      <c r="J167" s="462">
        <f>SUM(I$149:I167)</f>
        <v>20.936765449430951</v>
      </c>
      <c r="K167" s="48"/>
      <c r="L167" s="228"/>
      <c r="M167" s="228"/>
      <c r="N167" s="228"/>
      <c r="O167" s="228"/>
      <c r="P167" s="228"/>
    </row>
    <row r="168" spans="1:16" s="18" customFormat="1" hidden="1" x14ac:dyDescent="0.25">
      <c r="A168" s="147"/>
      <c r="B168" s="147"/>
      <c r="C168" s="141">
        <f>SUM(D$120:D139)</f>
        <v>13.590326344967686</v>
      </c>
      <c r="D168" s="141">
        <f t="shared" si="5"/>
        <v>20</v>
      </c>
      <c r="E168" s="238">
        <f t="shared" si="4"/>
        <v>2.6532977051444209</v>
      </c>
      <c r="F168" s="47">
        <f t="shared" si="6"/>
        <v>1.2109304370137586</v>
      </c>
      <c r="G168" s="458">
        <f>SUM(F$149:F168)</f>
        <v>22.147695886444708</v>
      </c>
      <c r="H168" s="238">
        <f t="shared" si="8"/>
        <v>2.6532977051444209</v>
      </c>
      <c r="I168" s="47">
        <f t="shared" si="7"/>
        <v>1.2109304370137586</v>
      </c>
      <c r="J168" s="462">
        <f>SUM(I$149:I168)</f>
        <v>22.147695886444708</v>
      </c>
      <c r="K168" s="48"/>
      <c r="L168" s="228"/>
      <c r="M168" s="228"/>
      <c r="N168" s="228"/>
      <c r="O168" s="228"/>
      <c r="P168" s="228"/>
    </row>
    <row r="169" spans="1:16" s="18" customFormat="1" hidden="1" x14ac:dyDescent="0.25">
      <c r="A169" s="147"/>
      <c r="B169" s="147"/>
      <c r="C169" s="141">
        <f>SUM(D$120:D140)</f>
        <v>14.029159947084313</v>
      </c>
      <c r="D169" s="141">
        <f t="shared" si="5"/>
        <v>21</v>
      </c>
      <c r="E169" s="238">
        <f t="shared" si="4"/>
        <v>2.7859625904016418</v>
      </c>
      <c r="F169" s="47">
        <f t="shared" si="6"/>
        <v>1.2225739989081212</v>
      </c>
      <c r="G169" s="458">
        <f>SUM(F$149:F169)</f>
        <v>23.37026988535283</v>
      </c>
      <c r="H169" s="238">
        <f t="shared" si="8"/>
        <v>2.7859625904016418</v>
      </c>
      <c r="I169" s="47">
        <f t="shared" si="7"/>
        <v>1.2225739989081212</v>
      </c>
      <c r="J169" s="462">
        <f>SUM(I$149:I169)</f>
        <v>23.37026988535283</v>
      </c>
      <c r="K169" s="48"/>
      <c r="L169" s="228"/>
      <c r="M169" s="228"/>
      <c r="N169" s="228"/>
      <c r="O169" s="228"/>
      <c r="P169" s="228"/>
    </row>
    <row r="170" spans="1:16" s="18" customFormat="1" hidden="1" x14ac:dyDescent="0.25">
      <c r="A170" s="147"/>
      <c r="B170" s="147"/>
      <c r="C170" s="141">
        <f>SUM(D$120:D141)</f>
        <v>14.451115333734917</v>
      </c>
      <c r="D170" s="141">
        <f t="shared" si="5"/>
        <v>22</v>
      </c>
      <c r="E170" s="238">
        <f t="shared" si="4"/>
        <v>2.9252607199217238</v>
      </c>
      <c r="F170" s="47">
        <f t="shared" si="6"/>
        <v>1.2343295181283915</v>
      </c>
      <c r="G170" s="458">
        <f>SUM(F$149:F170)</f>
        <v>24.60459940348122</v>
      </c>
      <c r="H170" s="238">
        <f t="shared" si="8"/>
        <v>2.9252607199217238</v>
      </c>
      <c r="I170" s="47">
        <f t="shared" si="7"/>
        <v>1.2343295181283915</v>
      </c>
      <c r="J170" s="462">
        <f>SUM(I$149:I170)</f>
        <v>24.60459940348122</v>
      </c>
      <c r="K170" s="48"/>
      <c r="L170" s="228"/>
      <c r="M170" s="228"/>
      <c r="N170" s="228"/>
      <c r="O170" s="228"/>
      <c r="P170" s="228"/>
    </row>
    <row r="171" spans="1:16" s="18" customFormat="1" hidden="1" x14ac:dyDescent="0.25">
      <c r="A171" s="147"/>
      <c r="B171" s="147"/>
      <c r="C171" s="141">
        <f>SUM(D$120:D142)</f>
        <v>14.856841667052803</v>
      </c>
      <c r="D171" s="141">
        <f t="shared" si="5"/>
        <v>23</v>
      </c>
      <c r="E171" s="238">
        <f t="shared" si="4"/>
        <v>3.0715237559178106</v>
      </c>
      <c r="F171" s="47">
        <f t="shared" si="6"/>
        <v>1.2461980711873188</v>
      </c>
      <c r="G171" s="458">
        <f>SUM(F$149:F171)</f>
        <v>25.850797474668539</v>
      </c>
      <c r="H171" s="238">
        <f t="shared" si="8"/>
        <v>3.0715237559178106</v>
      </c>
      <c r="I171" s="47">
        <f t="shared" si="7"/>
        <v>1.2461980711873188</v>
      </c>
      <c r="J171" s="462">
        <f>SUM(I$149:I171)</f>
        <v>25.850797474668539</v>
      </c>
      <c r="K171" s="48"/>
      <c r="L171" s="228"/>
      <c r="M171" s="228"/>
      <c r="N171" s="228"/>
      <c r="O171" s="228"/>
      <c r="P171" s="228"/>
    </row>
    <row r="172" spans="1:16" s="18" customFormat="1" hidden="1" x14ac:dyDescent="0.25">
      <c r="A172" s="147"/>
      <c r="B172" s="147"/>
      <c r="C172" s="141">
        <f>SUM(D$120:D143)</f>
        <v>15.246963141396925</v>
      </c>
      <c r="D172" s="141">
        <f t="shared" si="5"/>
        <v>24</v>
      </c>
      <c r="E172" s="238">
        <f t="shared" si="4"/>
        <v>3.2250999437137007</v>
      </c>
      <c r="F172" s="47">
        <f t="shared" si="6"/>
        <v>1.2581807449487352</v>
      </c>
      <c r="G172" s="458">
        <f>SUM(F$149:F172)</f>
        <v>27.108978219617274</v>
      </c>
      <c r="H172" s="238">
        <f t="shared" si="8"/>
        <v>3.2250999437137007</v>
      </c>
      <c r="I172" s="47">
        <f t="shared" si="7"/>
        <v>1.2581807449487352</v>
      </c>
      <c r="J172" s="462">
        <f>SUM(I$149:I172)</f>
        <v>27.108978219617274</v>
      </c>
      <c r="K172" s="48"/>
      <c r="L172" s="228"/>
      <c r="M172" s="228"/>
      <c r="N172" s="228"/>
      <c r="O172" s="228"/>
      <c r="P172" s="228"/>
    </row>
    <row r="173" spans="1:16" s="18" customFormat="1" hidden="1" x14ac:dyDescent="0.25">
      <c r="A173" s="147"/>
      <c r="B173" s="147"/>
      <c r="C173" s="141">
        <f>SUM(D$120:D144)</f>
        <v>15.622079943650888</v>
      </c>
      <c r="D173" s="141">
        <f t="shared" si="5"/>
        <v>25</v>
      </c>
      <c r="E173" s="238">
        <f t="shared" si="4"/>
        <v>3.3863549408993858</v>
      </c>
      <c r="F173" s="47">
        <f t="shared" si="6"/>
        <v>1.270278636727088</v>
      </c>
      <c r="G173" s="458">
        <f>SUM(F$149:F173)</f>
        <v>28.379256856344362</v>
      </c>
      <c r="H173" s="238">
        <f t="shared" si="8"/>
        <v>3.3863549408993858</v>
      </c>
      <c r="I173" s="47">
        <f t="shared" si="7"/>
        <v>1.270278636727088</v>
      </c>
      <c r="J173" s="462">
        <f>SUM(I$149:I173)</f>
        <v>28.379256856344362</v>
      </c>
      <c r="K173" s="48"/>
      <c r="L173" s="228"/>
      <c r="M173" s="228"/>
      <c r="N173" s="228"/>
      <c r="O173" s="228"/>
      <c r="P173" s="228"/>
    </row>
    <row r="174" spans="1:16" hidden="1" x14ac:dyDescent="0.25"/>
    <row r="175" spans="1:16" hidden="1" x14ac:dyDescent="0.25"/>
    <row r="176" spans="1:1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algorithmName="SHA-512" hashValue="m0AhL/ZCq3QZiIWmu+9ClF/9iM7UgT9kJCfzEP+ew/UevEUZaaup+R8YJYPoSLUJidJit7ouPrTup8qszfczYQ==" saltValue="e2M9MnlOFEyvwKXpNB/kxA==" spinCount="100000" sheet="1" objects="1" scenarios="1"/>
  <mergeCells count="8">
    <mergeCell ref="F103:H103"/>
    <mergeCell ref="F104:H105"/>
    <mergeCell ref="F1:H1"/>
    <mergeCell ref="C3:H3"/>
    <mergeCell ref="F98:H99"/>
    <mergeCell ref="H42:H43"/>
    <mergeCell ref="C75:I75"/>
    <mergeCell ref="A83:C83"/>
  </mergeCells>
  <conditionalFormatting sqref="D25">
    <cfRule type="expression" dxfId="3" priority="1">
      <formula>#REF!="Norge"</formula>
    </cfRule>
  </conditionalFormatting>
  <dataValidations count="7">
    <dataValidation allowBlank="1" showInputMessage="1" showErrorMessage="1" prompt="Standard: 20" sqref="D39"/>
    <dataValidation allowBlank="1" showInputMessage="1" showErrorMessage="1" prompt="Standard: 0,90" sqref="D36"/>
    <dataValidation allowBlank="1" showInputMessage="1" showErrorMessage="1" prompt="Standard: 6,4077" sqref="D40"/>
    <dataValidation allowBlank="1" showInputMessage="1" showErrorMessage="1" prompt="Standard: 15" sqref="D30"/>
    <dataValidation type="list" showInputMessage="1" errorTitle="Feil verdi" error="Analyseperioden må være mellom 0 og 25 år" promptTitle="Standard: 10 år" prompt="Mellom 0 og 25 år." sqref="D21">
      <formula1>$J$33:$J$34</formula1>
    </dataValidation>
    <dataValidation allowBlank="1" showInputMessage="1" showErrorMessage="1" promptTitle="Hva heter tiltaket?" prompt="Her kan man skrive inn hva tiltaket heter." sqref="F1:H1"/>
    <dataValidation allowBlank="1" showInputMessage="1" showErrorMessage="1" promptTitle="Beskrivelse av tiltaket" prompt="Her kan man for eksempel beskrive tiltaket og de viktigste beregningsforutsetningene, legge inn kommentarer, …" sqref="C3:H3"/>
  </dataValidations>
  <pageMargins left="0.70866141732283472" right="0.39370078740157483" top="0.78740157480314965" bottom="0.78740157480314965" header="0.31496062992125984" footer="0.31496062992125984"/>
  <pageSetup paperSize="9" scale="78" fitToHeight="0" orientation="landscape" r:id="rId1"/>
  <headerFooter>
    <oddFooter>&amp;LITS-Virkningsberegninger
TØI-Rapport 1289/2013&amp;C&amp;"-,Fet"&amp;12&amp;A&amp;RSide &amp;P</oddFooter>
  </headerFooter>
  <rowBreaks count="4" manualBreakCount="4">
    <brk id="18" max="16383" man="1"/>
    <brk id="50" max="16383" man="1"/>
    <brk id="72" max="16383" man="1"/>
    <brk id="8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tabColor rgb="FF00B050"/>
    <pageSetUpPr fitToPage="1"/>
  </sheetPr>
  <dimension ref="A1:P134"/>
  <sheetViews>
    <sheetView showGridLines="0" workbookViewId="0">
      <pane ySplit="1" topLeftCell="A2" activePane="bottomLeft" state="frozen"/>
      <selection sqref="A1:E1"/>
      <selection pane="bottomLeft" sqref="A1:E1"/>
    </sheetView>
  </sheetViews>
  <sheetFormatPr baseColWidth="10" defaultColWidth="0" defaultRowHeight="15" zeroHeight="1" x14ac:dyDescent="0.25"/>
  <cols>
    <col min="1" max="1" width="3.85546875" style="755" customWidth="1"/>
    <col min="2" max="2" width="1.28515625" style="755" customWidth="1"/>
    <col min="3" max="3" width="27.140625" style="529" customWidth="1"/>
    <col min="4" max="6" width="11.5703125" style="566" customWidth="1"/>
    <col min="7" max="7" width="5.5703125" style="773" customWidth="1"/>
    <col min="8" max="8" width="97.85546875" style="529" customWidth="1"/>
    <col min="9" max="9" width="1.28515625" style="566" customWidth="1"/>
    <col min="10" max="10" width="11.42578125" style="141" hidden="1" customWidth="1"/>
    <col min="11" max="11" width="12.85546875" style="141" hidden="1" customWidth="1"/>
    <col min="12" max="16384" width="11.42578125" style="10" hidden="1"/>
  </cols>
  <sheetData>
    <row r="1" spans="1:16" ht="21" x14ac:dyDescent="0.25">
      <c r="A1" s="742" t="s">
        <v>384</v>
      </c>
      <c r="B1" s="529"/>
      <c r="D1" s="529"/>
      <c r="E1" s="529"/>
      <c r="F1" s="815"/>
      <c r="G1" s="860"/>
      <c r="H1" s="860"/>
      <c r="I1" s="536"/>
      <c r="J1" s="743" t="s">
        <v>57</v>
      </c>
    </row>
    <row r="2" spans="1:16" ht="18.75" x14ac:dyDescent="0.25">
      <c r="A2" s="744" t="s">
        <v>118</v>
      </c>
      <c r="B2" s="745"/>
      <c r="D2" s="536"/>
      <c r="E2" s="536"/>
      <c r="F2" s="536"/>
      <c r="G2" s="746"/>
      <c r="H2" s="747"/>
      <c r="I2" s="536"/>
    </row>
    <row r="3" spans="1:16" s="748" customFormat="1" ht="74.25" customHeight="1" x14ac:dyDescent="0.25">
      <c r="B3" s="742"/>
      <c r="C3" s="815"/>
      <c r="D3" s="815"/>
      <c r="E3" s="815"/>
      <c r="F3" s="815"/>
      <c r="G3" s="816"/>
      <c r="H3" s="815"/>
      <c r="I3" s="536"/>
      <c r="J3" s="743" t="s">
        <v>57</v>
      </c>
      <c r="K3" s="141"/>
      <c r="L3" s="749"/>
      <c r="M3" s="566"/>
      <c r="N3" s="566"/>
      <c r="O3" s="566"/>
      <c r="P3" s="529"/>
    </row>
    <row r="4" spans="1:16" ht="5.0999999999999996" customHeight="1" x14ac:dyDescent="0.25">
      <c r="A4" s="748"/>
      <c r="B4" s="742"/>
      <c r="C4" s="750"/>
      <c r="D4" s="750"/>
      <c r="E4" s="750"/>
      <c r="F4" s="750"/>
      <c r="G4" s="751"/>
      <c r="H4" s="750"/>
      <c r="I4" s="529"/>
      <c r="J4" s="752"/>
      <c r="K4" s="753"/>
    </row>
    <row r="5" spans="1:16" ht="18.75" x14ac:dyDescent="0.3">
      <c r="A5" s="754" t="s">
        <v>134</v>
      </c>
      <c r="C5" s="748"/>
      <c r="D5" s="756"/>
      <c r="E5" s="529"/>
      <c r="F5" s="529"/>
      <c r="G5" s="746"/>
      <c r="H5" s="757"/>
      <c r="I5" s="529"/>
      <c r="J5" s="749"/>
    </row>
    <row r="6" spans="1:16" ht="15.75" x14ac:dyDescent="0.25">
      <c r="B6" s="758" t="s">
        <v>132</v>
      </c>
      <c r="C6" s="748"/>
      <c r="D6" s="759"/>
      <c r="E6" s="759"/>
      <c r="F6" s="759"/>
      <c r="G6" s="746"/>
      <c r="H6" s="750"/>
      <c r="I6" s="529"/>
      <c r="J6" s="749"/>
    </row>
    <row r="7" spans="1:16" x14ac:dyDescent="0.25">
      <c r="C7" s="748" t="s">
        <v>393</v>
      </c>
      <c r="D7" s="514">
        <f>D37</f>
        <v>2.1352407342369268</v>
      </c>
      <c r="E7" s="572" t="s">
        <v>862</v>
      </c>
      <c r="F7" s="531"/>
      <c r="G7" s="746"/>
      <c r="I7" s="529"/>
      <c r="J7" s="749"/>
    </row>
    <row r="8" spans="1:16" ht="15.75" x14ac:dyDescent="0.25">
      <c r="B8" s="745" t="s">
        <v>131</v>
      </c>
      <c r="C8" s="748"/>
      <c r="D8" s="574"/>
      <c r="E8" s="572"/>
      <c r="F8" s="531"/>
      <c r="G8" s="746"/>
      <c r="I8" s="529"/>
      <c r="J8" s="749"/>
    </row>
    <row r="9" spans="1:16" x14ac:dyDescent="0.25">
      <c r="C9" s="748" t="s">
        <v>60</v>
      </c>
      <c r="D9" s="514">
        <f>D42</f>
        <v>11.177761046510657</v>
      </c>
      <c r="E9" s="572" t="s">
        <v>863</v>
      </c>
      <c r="F9" s="531"/>
      <c r="G9" s="746"/>
      <c r="I9" s="529"/>
      <c r="J9" s="749"/>
    </row>
    <row r="10" spans="1:16" x14ac:dyDescent="0.25">
      <c r="B10" s="755" t="s">
        <v>133</v>
      </c>
      <c r="C10" s="748"/>
      <c r="D10" s="574"/>
      <c r="E10" s="572"/>
      <c r="F10" s="531"/>
      <c r="G10" s="746"/>
      <c r="I10" s="529"/>
      <c r="J10" s="749"/>
    </row>
    <row r="11" spans="1:16" x14ac:dyDescent="0.25">
      <c r="C11" s="748" t="str">
        <f t="shared" ref="C11:D13" si="0">C44</f>
        <v>Nettonytte</v>
      </c>
      <c r="D11" s="514">
        <f t="shared" si="0"/>
        <v>-9.0425203122737301</v>
      </c>
      <c r="E11" s="572" t="s">
        <v>862</v>
      </c>
      <c r="F11" s="531"/>
      <c r="G11" s="746"/>
      <c r="I11" s="529"/>
      <c r="J11" s="749"/>
    </row>
    <row r="12" spans="1:16" x14ac:dyDescent="0.25">
      <c r="C12" s="748" t="str">
        <f t="shared" si="0"/>
        <v>Nettonytte per budsjettkrone</v>
      </c>
      <c r="D12" s="514">
        <f t="shared" si="0"/>
        <v>-0.80897420106296858</v>
      </c>
      <c r="E12" s="760" t="s">
        <v>862</v>
      </c>
      <c r="F12" s="761"/>
      <c r="G12" s="746"/>
      <c r="I12" s="529"/>
      <c r="J12" s="749"/>
    </row>
    <row r="13" spans="1:16" x14ac:dyDescent="0.25">
      <c r="C13" s="748" t="str">
        <f t="shared" si="0"/>
        <v>Nyttekostnadsforhold</v>
      </c>
      <c r="D13" s="514">
        <f t="shared" si="0"/>
        <v>0.19102579893703145</v>
      </c>
      <c r="E13" s="760"/>
      <c r="F13" s="761"/>
      <c r="G13" s="746"/>
      <c r="I13" s="529"/>
      <c r="J13" s="749"/>
    </row>
    <row r="14" spans="1:16" x14ac:dyDescent="0.25">
      <c r="D14" s="529"/>
      <c r="E14" s="529"/>
      <c r="F14" s="529"/>
      <c r="G14" s="746"/>
      <c r="H14" s="757"/>
      <c r="I14" s="529"/>
      <c r="J14" s="749"/>
    </row>
    <row r="15" spans="1:16" ht="18.75" x14ac:dyDescent="0.25">
      <c r="A15" s="744" t="s">
        <v>0</v>
      </c>
      <c r="D15" s="536"/>
      <c r="E15" s="536"/>
      <c r="F15" s="536"/>
      <c r="G15" s="762"/>
      <c r="H15" s="747"/>
      <c r="I15" s="536"/>
    </row>
    <row r="16" spans="1:16" ht="15.75" x14ac:dyDescent="0.25">
      <c r="B16" s="745" t="s">
        <v>6</v>
      </c>
      <c r="D16" s="536"/>
      <c r="E16" s="536"/>
      <c r="F16" s="536"/>
      <c r="G16" s="762"/>
      <c r="H16" s="747"/>
      <c r="I16" s="536"/>
    </row>
    <row r="17" spans="1:11" x14ac:dyDescent="0.25">
      <c r="A17" s="763">
        <v>1</v>
      </c>
      <c r="C17" s="748" t="s">
        <v>406</v>
      </c>
      <c r="D17" s="741">
        <v>10</v>
      </c>
      <c r="E17" s="529" t="s">
        <v>44</v>
      </c>
      <c r="F17" s="529"/>
      <c r="G17" s="746">
        <f>A17</f>
        <v>1</v>
      </c>
      <c r="H17" s="529" t="s">
        <v>409</v>
      </c>
      <c r="I17" s="536"/>
      <c r="J17" s="764">
        <v>25</v>
      </c>
    </row>
    <row r="18" spans="1:11" x14ac:dyDescent="0.25">
      <c r="A18" s="763">
        <f>MAXA(A$17:A17)+1</f>
        <v>2</v>
      </c>
      <c r="C18" s="748" t="s">
        <v>8</v>
      </c>
      <c r="D18" s="516">
        <f>'Data-beregninger'!B6</f>
        <v>4</v>
      </c>
      <c r="E18" s="529" t="s">
        <v>61</v>
      </c>
      <c r="F18" s="529"/>
      <c r="G18" s="746">
        <f>A18</f>
        <v>2</v>
      </c>
      <c r="H18" s="529" t="s">
        <v>831</v>
      </c>
      <c r="I18" s="536"/>
      <c r="J18" s="141" t="s">
        <v>383</v>
      </c>
    </row>
    <row r="19" spans="1:11" x14ac:dyDescent="0.25">
      <c r="A19" s="763">
        <f>MAXA(A$17:A18)+1</f>
        <v>3</v>
      </c>
      <c r="C19" s="748" t="s">
        <v>55</v>
      </c>
      <c r="D19" s="517">
        <f>'Data-beregninger'!B7</f>
        <v>20</v>
      </c>
      <c r="E19" s="529" t="s">
        <v>61</v>
      </c>
      <c r="F19" s="529"/>
      <c r="G19" s="746">
        <f>A19</f>
        <v>3</v>
      </c>
      <c r="H19" s="529" t="s">
        <v>832</v>
      </c>
      <c r="I19" s="536"/>
    </row>
    <row r="20" spans="1:11" x14ac:dyDescent="0.25">
      <c r="A20" s="763">
        <f>MAXA(A$17:A19)+1</f>
        <v>4</v>
      </c>
      <c r="C20" s="748" t="s">
        <v>58</v>
      </c>
      <c r="D20" s="518">
        <f>IF(D17&lt;=1,D17,(1/(D18/100))*(1-1/((100+D18)/100)^D17))</f>
        <v>8.1108957793550367</v>
      </c>
      <c r="E20" s="529"/>
      <c r="F20" s="529"/>
      <c r="G20" s="746">
        <f>A20</f>
        <v>4</v>
      </c>
      <c r="H20" s="529" t="s">
        <v>116</v>
      </c>
      <c r="I20" s="536"/>
      <c r="K20" s="77">
        <f>VLOOKUP(D17,D100:G124,4)</f>
        <v>10.544398687589762</v>
      </c>
    </row>
    <row r="21" spans="1:11" x14ac:dyDescent="0.25">
      <c r="A21" s="763">
        <f>MAXA(A$17:A20)+1</f>
        <v>5</v>
      </c>
      <c r="C21" s="748" t="s">
        <v>998</v>
      </c>
      <c r="D21" s="601">
        <f>'Data-beregninger'!$C$3</f>
        <v>2014</v>
      </c>
      <c r="E21" s="529"/>
      <c r="F21" s="529"/>
      <c r="G21" s="765">
        <f>A21</f>
        <v>5</v>
      </c>
      <c r="H21" s="529" t="s">
        <v>1000</v>
      </c>
      <c r="I21" s="536"/>
      <c r="K21" s="77"/>
    </row>
    <row r="22" spans="1:11" ht="45" x14ac:dyDescent="0.25">
      <c r="A22" s="766"/>
      <c r="B22" s="745" t="s">
        <v>177</v>
      </c>
      <c r="C22" s="748"/>
      <c r="D22" s="767" t="s">
        <v>387</v>
      </c>
      <c r="E22" s="768" t="s">
        <v>385</v>
      </c>
      <c r="F22" s="768" t="s">
        <v>386</v>
      </c>
      <c r="G22" s="746"/>
      <c r="H22" s="750"/>
      <c r="I22" s="529"/>
    </row>
    <row r="23" spans="1:11" ht="15.75" x14ac:dyDescent="0.25">
      <c r="A23" s="763">
        <f>MAXA(A$17:A22)+1</f>
        <v>6</v>
      </c>
      <c r="B23" s="745"/>
      <c r="C23" s="748" t="s">
        <v>176</v>
      </c>
      <c r="D23" s="741">
        <v>30</v>
      </c>
      <c r="E23" s="741">
        <v>20</v>
      </c>
      <c r="F23" s="741">
        <v>1</v>
      </c>
      <c r="G23" s="746">
        <f>A23</f>
        <v>6</v>
      </c>
      <c r="H23" s="769" t="s">
        <v>410</v>
      </c>
      <c r="I23" s="536"/>
    </row>
    <row r="24" spans="1:11" ht="15.75" x14ac:dyDescent="0.25">
      <c r="A24" s="763">
        <f>MAXA(A$17:A23)+1</f>
        <v>7</v>
      </c>
      <c r="B24" s="745"/>
      <c r="C24" s="748" t="s">
        <v>174</v>
      </c>
      <c r="D24" s="506">
        <v>100000</v>
      </c>
      <c r="E24" s="506">
        <v>50000</v>
      </c>
      <c r="F24" s="506">
        <v>300000</v>
      </c>
      <c r="G24" s="746">
        <f>A24</f>
        <v>7</v>
      </c>
      <c r="H24" s="769" t="s">
        <v>405</v>
      </c>
      <c r="I24" s="536"/>
    </row>
    <row r="25" spans="1:11" ht="15.75" x14ac:dyDescent="0.25">
      <c r="A25" s="763">
        <f>MAXA(A$17:A24)+1</f>
        <v>8</v>
      </c>
      <c r="B25" s="745"/>
      <c r="C25" s="748" t="s">
        <v>175</v>
      </c>
      <c r="D25" s="506">
        <v>10000</v>
      </c>
      <c r="E25" s="506">
        <v>5000</v>
      </c>
      <c r="F25" s="506">
        <v>200000</v>
      </c>
      <c r="G25" s="746">
        <f>A25</f>
        <v>8</v>
      </c>
      <c r="H25" s="769" t="s">
        <v>404</v>
      </c>
      <c r="I25" s="536"/>
    </row>
    <row r="26" spans="1:11" ht="15.75" x14ac:dyDescent="0.25">
      <c r="A26" s="763">
        <f>MAXA(A$17:A25)+1</f>
        <v>9</v>
      </c>
      <c r="B26" s="745"/>
      <c r="C26" s="748" t="s">
        <v>388</v>
      </c>
      <c r="D26" s="506">
        <v>12</v>
      </c>
      <c r="E26" s="506">
        <v>7</v>
      </c>
      <c r="F26" s="506">
        <v>7</v>
      </c>
      <c r="G26" s="746">
        <f>A26</f>
        <v>9</v>
      </c>
      <c r="H26" s="769" t="s">
        <v>411</v>
      </c>
      <c r="I26" s="536"/>
    </row>
    <row r="27" spans="1:11" ht="15.75" hidden="1" x14ac:dyDescent="0.25">
      <c r="A27" s="770"/>
      <c r="B27" s="771"/>
      <c r="C27" s="772" t="s">
        <v>56</v>
      </c>
      <c r="D27" s="141">
        <f>INT($D17/D26)+1</f>
        <v>1</v>
      </c>
      <c r="E27" s="141">
        <f>INT($D17/E26)+1</f>
        <v>2</v>
      </c>
      <c r="F27" s="141">
        <f>INT($D17/F26)+1</f>
        <v>2</v>
      </c>
      <c r="H27" s="774"/>
    </row>
    <row r="28" spans="1:11" ht="15.75" hidden="1" x14ac:dyDescent="0.25">
      <c r="A28" s="770"/>
      <c r="B28" s="771"/>
      <c r="C28" s="772" t="s">
        <v>56</v>
      </c>
      <c r="D28" s="77">
        <f>(1-((1+$D18/100)^(-D26*D27)))/(1-((1+$D18/100)^(-D26)))+(($D17-(D26*D27))/(D26*((1+$D18/100)^$D17)))</f>
        <v>0.88740597186236692</v>
      </c>
      <c r="E28" s="77">
        <f>(1-((1+$D18/100)^(-E26*E27)))/(1-((1+$D18/100)^(-E26)))+(($D17-(E26*E27))/(E26*((1+$D18/100)^$D17)))</f>
        <v>1.3738811453016078</v>
      </c>
      <c r="F28" s="77">
        <f>(1-((1+$D18/100)^(-F26*F27)))/(1-((1+$D18/100)^(-F26)))+(($D17-(F26*F27))/(F26*((1+$D18/100)^$D17)))</f>
        <v>1.3738811453016078</v>
      </c>
      <c r="H28" s="774"/>
    </row>
    <row r="29" spans="1:11" ht="15.75" x14ac:dyDescent="0.25">
      <c r="A29" s="766"/>
      <c r="B29" s="745" t="s">
        <v>393</v>
      </c>
      <c r="C29" s="748"/>
      <c r="D29" s="536"/>
      <c r="E29" s="529"/>
      <c r="F29" s="529"/>
      <c r="G29" s="746"/>
      <c r="H29" s="747"/>
      <c r="I29" s="536"/>
    </row>
    <row r="30" spans="1:11" x14ac:dyDescent="0.25">
      <c r="A30" s="763">
        <f>MAXA(A$17:A29)+1</f>
        <v>10</v>
      </c>
      <c r="C30" s="748" t="s">
        <v>391</v>
      </c>
      <c r="D30" s="506">
        <v>50000</v>
      </c>
      <c r="E30" s="529" t="s">
        <v>389</v>
      </c>
      <c r="F30" s="775"/>
      <c r="G30" s="746">
        <f>A30</f>
        <v>10</v>
      </c>
      <c r="H30" s="529" t="s">
        <v>390</v>
      </c>
      <c r="I30" s="536"/>
    </row>
    <row r="31" spans="1:11" x14ac:dyDescent="0.25">
      <c r="A31" s="763">
        <f>MAXA(A$17:A30)+1</f>
        <v>11</v>
      </c>
      <c r="C31" s="748" t="s">
        <v>395</v>
      </c>
      <c r="D31" s="586">
        <v>5</v>
      </c>
      <c r="E31" s="529" t="s">
        <v>61</v>
      </c>
      <c r="F31" s="775"/>
      <c r="G31" s="746">
        <f>A31</f>
        <v>11</v>
      </c>
      <c r="H31" s="529" t="s">
        <v>396</v>
      </c>
      <c r="I31" s="536"/>
    </row>
    <row r="32" spans="1:11" x14ac:dyDescent="0.25">
      <c r="A32" s="763">
        <f>MAXA(A$17:A31)+1</f>
        <v>12</v>
      </c>
      <c r="C32" s="748" t="s">
        <v>394</v>
      </c>
      <c r="D32" s="597">
        <v>4.05</v>
      </c>
      <c r="E32" s="529" t="s">
        <v>128</v>
      </c>
      <c r="F32" s="775"/>
      <c r="G32" s="746">
        <f>A32</f>
        <v>12</v>
      </c>
      <c r="H32" s="529" t="s">
        <v>995</v>
      </c>
      <c r="I32" s="536"/>
    </row>
    <row r="33" spans="1:11" x14ac:dyDescent="0.25">
      <c r="A33" s="763"/>
      <c r="C33" s="748"/>
      <c r="D33" s="529"/>
      <c r="E33" s="529"/>
      <c r="F33" s="775"/>
      <c r="G33" s="746"/>
      <c r="H33" s="769"/>
      <c r="I33" s="536"/>
    </row>
    <row r="34" spans="1:11" ht="18.75" x14ac:dyDescent="0.25">
      <c r="A34" s="744" t="s">
        <v>5</v>
      </c>
      <c r="B34" s="745"/>
      <c r="D34" s="529"/>
      <c r="E34" s="529"/>
      <c r="F34" s="529"/>
      <c r="G34" s="746"/>
      <c r="I34" s="536"/>
    </row>
    <row r="35" spans="1:11" ht="25.5" x14ac:dyDescent="0.25">
      <c r="A35" s="776"/>
      <c r="B35" s="777"/>
      <c r="C35" s="778" t="s">
        <v>326</v>
      </c>
      <c r="D35" s="779" t="str">
        <f>IF(J35&lt;K35,"OBS: Det mangler informasjon - sjekk de oransje cellene!","")</f>
        <v/>
      </c>
      <c r="E35" s="780"/>
      <c r="F35" s="781"/>
      <c r="G35" s="781"/>
      <c r="H35" s="782"/>
      <c r="I35" s="783"/>
      <c r="J35" s="784">
        <f>COUNT(D17,D23:F26,D30,D32)</f>
        <v>15</v>
      </c>
      <c r="K35" s="784">
        <v>15</v>
      </c>
    </row>
    <row r="36" spans="1:11" x14ac:dyDescent="0.25">
      <c r="A36" s="785">
        <f>MAXA(A$17:A35)+1</f>
        <v>13</v>
      </c>
      <c r="C36" s="748" t="s">
        <v>392</v>
      </c>
      <c r="D36" s="514">
        <f>D30*D32/1000000</f>
        <v>0.20250000000000001</v>
      </c>
      <c r="E36" s="529" t="s">
        <v>961</v>
      </c>
      <c r="F36" s="529"/>
      <c r="G36" s="746">
        <f>A36</f>
        <v>13</v>
      </c>
      <c r="H36" s="750" t="s">
        <v>421</v>
      </c>
      <c r="I36" s="536"/>
    </row>
    <row r="37" spans="1:11" x14ac:dyDescent="0.25">
      <c r="A37" s="785">
        <f>MAXA(A$17:A36)+1</f>
        <v>14</v>
      </c>
      <c r="C37" s="748" t="s">
        <v>402</v>
      </c>
      <c r="D37" s="514">
        <f>D36*K20</f>
        <v>2.1352407342369268</v>
      </c>
      <c r="E37" s="529" t="s">
        <v>961</v>
      </c>
      <c r="F37" s="529"/>
      <c r="G37" s="746">
        <f>A37</f>
        <v>14</v>
      </c>
      <c r="H37" s="750" t="s">
        <v>403</v>
      </c>
      <c r="I37" s="536"/>
    </row>
    <row r="38" spans="1:11" ht="18.75" x14ac:dyDescent="0.25">
      <c r="A38" s="744" t="s">
        <v>11</v>
      </c>
      <c r="D38" s="592"/>
      <c r="E38" s="529"/>
      <c r="F38" s="529"/>
      <c r="G38" s="746"/>
      <c r="H38" s="747"/>
      <c r="I38" s="536"/>
    </row>
    <row r="39" spans="1:11" x14ac:dyDescent="0.25">
      <c r="A39" s="785">
        <f>MAXA(A$17:A38)+1</f>
        <v>15</v>
      </c>
      <c r="C39" s="748" t="s">
        <v>59</v>
      </c>
      <c r="D39" s="524">
        <f>(D23*D24*D28+E23*E24*E28+F23*F24*F28)/1000000</f>
        <v>4.4482634044791904</v>
      </c>
      <c r="E39" s="529" t="s">
        <v>961</v>
      </c>
      <c r="F39" s="569"/>
      <c r="G39" s="746">
        <f>A39</f>
        <v>15</v>
      </c>
      <c r="H39" s="750" t="s">
        <v>397</v>
      </c>
      <c r="I39" s="536"/>
    </row>
    <row r="40" spans="1:11" x14ac:dyDescent="0.25">
      <c r="A40" s="785">
        <f>MAXA(A$17:A39)+1</f>
        <v>16</v>
      </c>
      <c r="C40" s="748" t="s">
        <v>401</v>
      </c>
      <c r="D40" s="524">
        <f>SUM(D23*D25,E23*E25,F23*F25)*D20/1000000</f>
        <v>4.8665374676130222</v>
      </c>
      <c r="E40" s="529" t="s">
        <v>961</v>
      </c>
      <c r="F40" s="569"/>
      <c r="G40" s="746">
        <f>A40</f>
        <v>16</v>
      </c>
      <c r="H40" s="769" t="s">
        <v>398</v>
      </c>
      <c r="I40" s="536"/>
    </row>
    <row r="41" spans="1:11" x14ac:dyDescent="0.25">
      <c r="A41" s="785">
        <f>MAXA(A$17:A40)+1</f>
        <v>17</v>
      </c>
      <c r="C41" s="748" t="s">
        <v>60</v>
      </c>
      <c r="D41" s="524">
        <f>D39+D40</f>
        <v>9.3148008720922135</v>
      </c>
      <c r="E41" s="529" t="s">
        <v>961</v>
      </c>
      <c r="F41" s="529"/>
      <c r="G41" s="746">
        <f>A41</f>
        <v>17</v>
      </c>
      <c r="H41" s="769" t="s">
        <v>399</v>
      </c>
      <c r="I41" s="536"/>
    </row>
    <row r="42" spans="1:11" x14ac:dyDescent="0.25">
      <c r="A42" s="785">
        <f>MAXA(A$17:A41)+1</f>
        <v>18</v>
      </c>
      <c r="C42" s="748" t="s">
        <v>114</v>
      </c>
      <c r="D42" s="514">
        <f>SUM(D39:D40)*(100+D19)/100</f>
        <v>11.177761046510657</v>
      </c>
      <c r="E42" s="529" t="s">
        <v>961</v>
      </c>
      <c r="F42" s="529"/>
      <c r="G42" s="746">
        <f>A42</f>
        <v>18</v>
      </c>
      <c r="H42" s="769" t="s">
        <v>400</v>
      </c>
      <c r="I42" s="536"/>
    </row>
    <row r="43" spans="1:11" ht="18.75" x14ac:dyDescent="0.25">
      <c r="A43" s="744" t="s">
        <v>117</v>
      </c>
      <c r="D43" s="592"/>
      <c r="E43" s="536"/>
      <c r="F43" s="536"/>
      <c r="G43" s="746"/>
      <c r="H43" s="747"/>
      <c r="I43" s="536"/>
    </row>
    <row r="44" spans="1:11" x14ac:dyDescent="0.25">
      <c r="A44" s="785">
        <f>MAXA(A$17:A43)+1</f>
        <v>19</v>
      </c>
      <c r="C44" s="748" t="s">
        <v>12</v>
      </c>
      <c r="D44" s="514">
        <f>D37-D42</f>
        <v>-9.0425203122737301</v>
      </c>
      <c r="E44" s="529" t="s">
        <v>961</v>
      </c>
      <c r="F44" s="536"/>
      <c r="G44" s="746">
        <f>A44</f>
        <v>19</v>
      </c>
      <c r="H44" s="529" t="s">
        <v>860</v>
      </c>
      <c r="I44" s="536"/>
    </row>
    <row r="45" spans="1:11" x14ac:dyDescent="0.25">
      <c r="A45" s="785">
        <f>MAXA(A$17:A44)+1</f>
        <v>20</v>
      </c>
      <c r="C45" s="748" t="s">
        <v>14</v>
      </c>
      <c r="D45" s="514">
        <f>D44/D42</f>
        <v>-0.80897420106296858</v>
      </c>
      <c r="E45" s="529" t="s">
        <v>961</v>
      </c>
      <c r="F45" s="536"/>
      <c r="G45" s="746">
        <f>A45</f>
        <v>20</v>
      </c>
      <c r="H45" s="529" t="s">
        <v>52</v>
      </c>
      <c r="I45" s="536"/>
    </row>
    <row r="46" spans="1:11" x14ac:dyDescent="0.25">
      <c r="A46" s="785">
        <f>MAXA(A$17:A45)+1</f>
        <v>21</v>
      </c>
      <c r="C46" s="748" t="s">
        <v>13</v>
      </c>
      <c r="D46" s="514">
        <f>D37/D42</f>
        <v>0.19102579893703145</v>
      </c>
      <c r="E46" s="536"/>
      <c r="F46" s="536"/>
      <c r="G46" s="746">
        <f>A46</f>
        <v>21</v>
      </c>
      <c r="H46" s="529" t="s">
        <v>168</v>
      </c>
      <c r="I46" s="536"/>
    </row>
    <row r="47" spans="1:11" x14ac:dyDescent="0.25">
      <c r="A47" s="785"/>
      <c r="C47" s="748"/>
      <c r="D47" s="530"/>
      <c r="E47" s="531"/>
      <c r="F47" s="531"/>
      <c r="G47" s="746"/>
      <c r="I47" s="529"/>
      <c r="J47" s="753"/>
      <c r="K47" s="753"/>
    </row>
    <row r="48" spans="1:11" ht="18.75" x14ac:dyDescent="0.3">
      <c r="A48" s="754" t="s">
        <v>330</v>
      </c>
      <c r="C48" s="748"/>
      <c r="D48" s="530"/>
      <c r="E48" s="531"/>
      <c r="F48" s="531"/>
      <c r="G48" s="746"/>
      <c r="I48" s="529"/>
      <c r="J48" s="753"/>
      <c r="K48" s="753"/>
    </row>
    <row r="49" spans="1:16" s="529" customFormat="1" ht="5.0999999999999996" customHeight="1" x14ac:dyDescent="0.25">
      <c r="A49" s="744"/>
      <c r="B49" s="755"/>
      <c r="C49" s="748"/>
      <c r="D49" s="530"/>
      <c r="E49" s="531"/>
      <c r="F49" s="531"/>
      <c r="G49" s="746"/>
      <c r="J49" s="753"/>
      <c r="K49" s="753"/>
      <c r="L49" s="786"/>
      <c r="P49" s="748"/>
    </row>
    <row r="50" spans="1:16" s="529" customFormat="1" ht="42.75" customHeight="1" x14ac:dyDescent="0.25">
      <c r="A50" s="744"/>
      <c r="B50" s="755"/>
      <c r="C50" s="865" t="s">
        <v>768</v>
      </c>
      <c r="D50" s="866"/>
      <c r="E50" s="866"/>
      <c r="F50" s="866"/>
      <c r="G50" s="866"/>
      <c r="H50" s="866"/>
      <c r="I50" s="866"/>
      <c r="J50" s="753"/>
      <c r="K50" s="753"/>
      <c r="L50" s="786"/>
      <c r="P50" s="748"/>
    </row>
    <row r="51" spans="1:16" s="529" customFormat="1" ht="145.5" customHeight="1" x14ac:dyDescent="0.25">
      <c r="A51" s="744"/>
      <c r="B51" s="755"/>
      <c r="C51" s="748"/>
      <c r="D51" s="530"/>
      <c r="E51" s="531"/>
      <c r="F51" s="531"/>
      <c r="G51" s="746"/>
      <c r="J51" s="753"/>
      <c r="K51" s="753"/>
      <c r="L51" s="786"/>
      <c r="P51" s="748"/>
    </row>
    <row r="52" spans="1:16" s="529" customFormat="1" ht="6.75" customHeight="1" x14ac:dyDescent="0.25">
      <c r="A52" s="785"/>
      <c r="B52" s="755"/>
      <c r="C52" s="748"/>
      <c r="D52" s="530"/>
      <c r="E52" s="531"/>
      <c r="F52" s="531"/>
      <c r="G52" s="746"/>
      <c r="J52" s="753"/>
      <c r="K52" s="753"/>
      <c r="L52" s="786"/>
      <c r="P52" s="748"/>
    </row>
    <row r="53" spans="1:16" s="529" customFormat="1" ht="15" customHeight="1" x14ac:dyDescent="0.3">
      <c r="A53" s="754" t="s">
        <v>629</v>
      </c>
      <c r="B53" s="755"/>
      <c r="C53" s="748"/>
      <c r="D53" s="756"/>
      <c r="G53" s="765"/>
      <c r="H53" s="757"/>
      <c r="J53" s="753"/>
      <c r="K53" s="753"/>
      <c r="L53" s="786"/>
      <c r="P53" s="748"/>
    </row>
    <row r="54" spans="1:16" s="529" customFormat="1" ht="15" customHeight="1" x14ac:dyDescent="0.3">
      <c r="A54" s="754"/>
      <c r="B54" s="755"/>
      <c r="C54" s="748"/>
      <c r="D54" s="756"/>
      <c r="G54" s="765"/>
      <c r="H54" s="757"/>
      <c r="J54" s="753"/>
      <c r="K54" s="753"/>
      <c r="L54" s="786"/>
      <c r="P54" s="748"/>
    </row>
    <row r="55" spans="1:16" s="529" customFormat="1" ht="15" customHeight="1" x14ac:dyDescent="0.3">
      <c r="A55" s="754"/>
      <c r="B55" s="755"/>
      <c r="C55" s="748"/>
      <c r="E55" s="787" t="s">
        <v>631</v>
      </c>
      <c r="G55" s="765"/>
      <c r="H55" s="788" t="s">
        <v>633</v>
      </c>
      <c r="J55" s="753"/>
      <c r="K55" s="753"/>
      <c r="L55" s="786"/>
      <c r="P55" s="748"/>
    </row>
    <row r="56" spans="1:16" s="529" customFormat="1" ht="30.75" x14ac:dyDescent="0.3">
      <c r="A56" s="754"/>
      <c r="B56" s="755"/>
      <c r="C56" s="748"/>
      <c r="D56" s="789" t="s">
        <v>524</v>
      </c>
      <c r="E56" s="789" t="s">
        <v>302</v>
      </c>
      <c r="F56" s="789" t="s">
        <v>893</v>
      </c>
      <c r="G56" s="790"/>
      <c r="J56" s="753"/>
      <c r="K56" s="753"/>
      <c r="L56" s="786"/>
      <c r="P56" s="748"/>
    </row>
    <row r="57" spans="1:16" s="529" customFormat="1" ht="3.95" customHeight="1" x14ac:dyDescent="0.3">
      <c r="A57" s="754"/>
      <c r="B57" s="755"/>
      <c r="C57" s="748"/>
      <c r="D57" s="530"/>
      <c r="E57" s="531"/>
      <c r="F57" s="531"/>
      <c r="G57" s="746"/>
      <c r="J57" s="753"/>
      <c r="K57" s="753"/>
      <c r="L57" s="786"/>
      <c r="P57" s="748"/>
    </row>
    <row r="58" spans="1:16" s="529" customFormat="1" ht="30" customHeight="1" x14ac:dyDescent="0.25">
      <c r="A58" s="867" t="s">
        <v>962</v>
      </c>
      <c r="B58" s="868"/>
      <c r="C58" s="868"/>
      <c r="D58" s="791" t="s">
        <v>630</v>
      </c>
      <c r="E58" s="791" t="s">
        <v>630</v>
      </c>
      <c r="F58" s="791" t="s">
        <v>892</v>
      </c>
      <c r="G58" s="765"/>
      <c r="H58" s="792" t="s">
        <v>892</v>
      </c>
      <c r="J58" s="753"/>
      <c r="K58" s="753"/>
      <c r="L58" s="786"/>
      <c r="P58" s="748"/>
    </row>
    <row r="59" spans="1:16" s="529" customFormat="1" ht="15" customHeight="1" x14ac:dyDescent="0.3">
      <c r="A59" s="754"/>
      <c r="B59" s="755"/>
      <c r="C59" s="748"/>
      <c r="D59" s="756"/>
      <c r="G59" s="765"/>
      <c r="H59" s="757"/>
      <c r="J59" s="753"/>
      <c r="K59" s="753"/>
      <c r="L59" s="786"/>
      <c r="P59" s="748"/>
    </row>
    <row r="60" spans="1:16" s="529" customFormat="1" ht="6.75" customHeight="1" x14ac:dyDescent="0.25">
      <c r="A60" s="785"/>
      <c r="B60" s="755"/>
      <c r="C60" s="748"/>
      <c r="D60" s="530"/>
      <c r="E60" s="531"/>
      <c r="F60" s="531"/>
      <c r="G60" s="746"/>
      <c r="J60" s="753"/>
      <c r="K60" s="753"/>
      <c r="L60" s="786"/>
      <c r="P60" s="748"/>
    </row>
    <row r="61" spans="1:16" ht="18.75" x14ac:dyDescent="0.3">
      <c r="A61" s="754" t="s">
        <v>455</v>
      </c>
      <c r="C61" s="748"/>
      <c r="D61" s="530"/>
      <c r="E61" s="531"/>
      <c r="F61" s="531"/>
      <c r="G61" s="746"/>
      <c r="I61" s="529"/>
      <c r="J61" s="753"/>
      <c r="K61" s="753"/>
    </row>
    <row r="62" spans="1:16" ht="23.25" x14ac:dyDescent="0.25">
      <c r="A62" s="793"/>
      <c r="B62" s="793"/>
      <c r="C62" s="794"/>
      <c r="D62" s="795"/>
      <c r="E62" s="796"/>
      <c r="F62" s="796"/>
      <c r="G62" s="797"/>
      <c r="H62" s="798"/>
      <c r="I62" s="799"/>
      <c r="J62" s="800"/>
      <c r="K62" s="800"/>
    </row>
    <row r="63" spans="1:16" ht="15" customHeight="1" x14ac:dyDescent="0.25">
      <c r="A63" s="793"/>
      <c r="B63" s="793"/>
      <c r="C63" s="801" t="s">
        <v>394</v>
      </c>
      <c r="D63" s="795"/>
      <c r="E63" s="10"/>
      <c r="F63" s="796"/>
      <c r="G63" s="797"/>
      <c r="H63" s="798"/>
      <c r="I63" s="799"/>
      <c r="J63" s="800"/>
      <c r="K63" s="800"/>
    </row>
    <row r="64" spans="1:16" x14ac:dyDescent="0.25">
      <c r="A64" s="783"/>
      <c r="B64" s="783"/>
      <c r="D64" s="599">
        <f>'Data-beregninger'!C148</f>
        <v>4.7397635999999999</v>
      </c>
      <c r="E64" s="536" t="s">
        <v>1007</v>
      </c>
      <c r="F64" s="802"/>
      <c r="G64" s="746"/>
      <c r="I64" s="529"/>
      <c r="J64" s="753"/>
      <c r="K64" s="753"/>
    </row>
    <row r="65" spans="1:11" x14ac:dyDescent="0.25">
      <c r="A65" s="785"/>
      <c r="C65" s="748"/>
      <c r="D65" s="530"/>
      <c r="E65" s="802"/>
      <c r="F65" s="531"/>
      <c r="G65" s="746"/>
      <c r="I65" s="529"/>
      <c r="J65" s="753"/>
      <c r="K65" s="753"/>
    </row>
    <row r="66" spans="1:11" hidden="1" x14ac:dyDescent="0.25">
      <c r="A66" s="785"/>
      <c r="C66" s="748"/>
      <c r="D66" s="530"/>
      <c r="E66" s="802"/>
      <c r="F66" s="531"/>
      <c r="G66" s="746"/>
      <c r="I66" s="529"/>
      <c r="J66" s="753"/>
      <c r="K66" s="753"/>
    </row>
    <row r="67" spans="1:11" hidden="1" x14ac:dyDescent="0.25">
      <c r="D67" s="536"/>
      <c r="E67" s="536"/>
      <c r="F67" s="536"/>
      <c r="G67" s="746"/>
      <c r="H67" s="747"/>
      <c r="I67" s="536"/>
    </row>
    <row r="68" spans="1:11" hidden="1" x14ac:dyDescent="0.25">
      <c r="A68" s="803" t="s">
        <v>57</v>
      </c>
      <c r="H68" s="804"/>
    </row>
    <row r="69" spans="1:11" hidden="1" x14ac:dyDescent="0.25">
      <c r="C69" s="155" t="s">
        <v>10</v>
      </c>
      <c r="D69" s="44"/>
      <c r="E69" s="44"/>
      <c r="F69" s="44"/>
      <c r="G69" s="58" t="s">
        <v>10</v>
      </c>
      <c r="H69" s="566"/>
      <c r="J69" s="566"/>
      <c r="K69" s="566"/>
    </row>
    <row r="70" spans="1:11" hidden="1" x14ac:dyDescent="0.25">
      <c r="C70" s="156">
        <v>0</v>
      </c>
      <c r="D70" s="46">
        <f>((100-D$18)/100)^C70</f>
        <v>1</v>
      </c>
      <c r="E70" s="46"/>
      <c r="F70" s="46"/>
      <c r="G70" s="805"/>
      <c r="H70" s="566"/>
      <c r="J70" s="566"/>
      <c r="K70" s="566"/>
    </row>
    <row r="71" spans="1:11" hidden="1" x14ac:dyDescent="0.25">
      <c r="C71" s="156">
        <f t="shared" ref="C71:C95" si="1">C70+1</f>
        <v>1</v>
      </c>
      <c r="D71" s="46">
        <f t="shared" ref="D71:D95" si="2">1/((100+D$18)/100)^C71</f>
        <v>0.96153846153846145</v>
      </c>
      <c r="E71" s="46"/>
      <c r="F71" s="46"/>
      <c r="G71" s="60">
        <v>1</v>
      </c>
      <c r="H71" s="566"/>
      <c r="J71" s="566"/>
      <c r="K71" s="566"/>
    </row>
    <row r="72" spans="1:11" hidden="1" x14ac:dyDescent="0.25">
      <c r="C72" s="156">
        <f t="shared" si="1"/>
        <v>2</v>
      </c>
      <c r="D72" s="46">
        <f t="shared" si="2"/>
        <v>0.92455621301775137</v>
      </c>
      <c r="E72" s="46"/>
      <c r="F72" s="46"/>
      <c r="G72" s="60">
        <f t="shared" ref="G72:G95" si="3">G71+1</f>
        <v>2</v>
      </c>
      <c r="H72" s="566"/>
      <c r="J72" s="566"/>
      <c r="K72" s="566"/>
    </row>
    <row r="73" spans="1:11" hidden="1" x14ac:dyDescent="0.25">
      <c r="C73" s="156">
        <f t="shared" si="1"/>
        <v>3</v>
      </c>
      <c r="D73" s="46">
        <f t="shared" si="2"/>
        <v>0.88899635867091487</v>
      </c>
      <c r="E73" s="46"/>
      <c r="F73" s="46"/>
      <c r="G73" s="60">
        <f t="shared" si="3"/>
        <v>3</v>
      </c>
      <c r="H73" s="566"/>
      <c r="J73" s="566"/>
      <c r="K73" s="566"/>
    </row>
    <row r="74" spans="1:11" hidden="1" x14ac:dyDescent="0.25">
      <c r="A74" s="748"/>
      <c r="B74" s="529"/>
      <c r="C74" s="156">
        <f t="shared" si="1"/>
        <v>4</v>
      </c>
      <c r="D74" s="46">
        <f t="shared" si="2"/>
        <v>0.85480419102972571</v>
      </c>
      <c r="E74" s="46"/>
      <c r="F74" s="46"/>
      <c r="G74" s="60">
        <f t="shared" si="3"/>
        <v>4</v>
      </c>
      <c r="H74" s="566"/>
      <c r="J74" s="566"/>
      <c r="K74" s="566"/>
    </row>
    <row r="75" spans="1:11" hidden="1" x14ac:dyDescent="0.25">
      <c r="A75" s="748"/>
      <c r="B75" s="529"/>
      <c r="C75" s="156">
        <f t="shared" si="1"/>
        <v>5</v>
      </c>
      <c r="D75" s="46">
        <f t="shared" si="2"/>
        <v>0.82192710675935154</v>
      </c>
      <c r="E75" s="46"/>
      <c r="F75" s="46"/>
      <c r="G75" s="60">
        <f t="shared" si="3"/>
        <v>5</v>
      </c>
      <c r="H75" s="566"/>
      <c r="J75" s="566"/>
      <c r="K75" s="566"/>
    </row>
    <row r="76" spans="1:11" hidden="1" x14ac:dyDescent="0.25">
      <c r="A76" s="748"/>
      <c r="B76" s="529"/>
      <c r="C76" s="156">
        <f t="shared" si="1"/>
        <v>6</v>
      </c>
      <c r="D76" s="46">
        <f t="shared" si="2"/>
        <v>0.79031452573014571</v>
      </c>
      <c r="E76" s="46"/>
      <c r="F76" s="46"/>
      <c r="G76" s="60">
        <f t="shared" si="3"/>
        <v>6</v>
      </c>
      <c r="H76" s="566"/>
      <c r="J76" s="566"/>
      <c r="K76" s="566"/>
    </row>
    <row r="77" spans="1:11" hidden="1" x14ac:dyDescent="0.25">
      <c r="A77" s="748"/>
      <c r="B77" s="529"/>
      <c r="C77" s="156">
        <f t="shared" si="1"/>
        <v>7</v>
      </c>
      <c r="D77" s="46">
        <f t="shared" si="2"/>
        <v>0.75991781320206331</v>
      </c>
      <c r="E77" s="46"/>
      <c r="F77" s="46"/>
      <c r="G77" s="60">
        <f t="shared" si="3"/>
        <v>7</v>
      </c>
      <c r="H77" s="566"/>
      <c r="J77" s="566"/>
      <c r="K77" s="566"/>
    </row>
    <row r="78" spans="1:11" hidden="1" x14ac:dyDescent="0.25">
      <c r="A78" s="748"/>
      <c r="B78" s="529"/>
      <c r="C78" s="156">
        <f t="shared" si="1"/>
        <v>8</v>
      </c>
      <c r="D78" s="46">
        <f t="shared" si="2"/>
        <v>0.73069020500198378</v>
      </c>
      <c r="E78" s="46"/>
      <c r="F78" s="46"/>
      <c r="G78" s="60">
        <f t="shared" si="3"/>
        <v>8</v>
      </c>
      <c r="H78" s="566"/>
      <c r="J78" s="566"/>
      <c r="K78" s="566"/>
    </row>
    <row r="79" spans="1:11" hidden="1" x14ac:dyDescent="0.25">
      <c r="A79" s="748"/>
      <c r="B79" s="529"/>
      <c r="C79" s="156">
        <f t="shared" si="1"/>
        <v>9</v>
      </c>
      <c r="D79" s="46">
        <f t="shared" si="2"/>
        <v>0.70258673557883045</v>
      </c>
      <c r="E79" s="46"/>
      <c r="F79" s="46"/>
      <c r="G79" s="60">
        <f t="shared" si="3"/>
        <v>9</v>
      </c>
      <c r="H79" s="566"/>
      <c r="J79" s="566"/>
      <c r="K79" s="566"/>
    </row>
    <row r="80" spans="1:11" hidden="1" x14ac:dyDescent="0.25">
      <c r="A80" s="748"/>
      <c r="B80" s="529"/>
      <c r="C80" s="156">
        <f t="shared" si="1"/>
        <v>10</v>
      </c>
      <c r="D80" s="46">
        <f t="shared" si="2"/>
        <v>0.67556416882579851</v>
      </c>
      <c r="E80" s="46"/>
      <c r="F80" s="46"/>
      <c r="G80" s="60">
        <f t="shared" si="3"/>
        <v>10</v>
      </c>
      <c r="H80" s="566"/>
      <c r="J80" s="566"/>
      <c r="K80" s="566"/>
    </row>
    <row r="81" spans="1:11" hidden="1" x14ac:dyDescent="0.25">
      <c r="A81" s="748"/>
      <c r="B81" s="529"/>
      <c r="C81" s="156">
        <f t="shared" si="1"/>
        <v>11</v>
      </c>
      <c r="D81" s="46">
        <f t="shared" si="2"/>
        <v>0.6495809315632679</v>
      </c>
      <c r="E81" s="46"/>
      <c r="F81" s="46"/>
      <c r="G81" s="60">
        <f t="shared" si="3"/>
        <v>11</v>
      </c>
      <c r="H81" s="566"/>
      <c r="J81" s="566"/>
      <c r="K81" s="566"/>
    </row>
    <row r="82" spans="1:11" hidden="1" x14ac:dyDescent="0.25">
      <c r="A82" s="748"/>
      <c r="B82" s="529"/>
      <c r="C82" s="156">
        <f t="shared" si="1"/>
        <v>12</v>
      </c>
      <c r="D82" s="46">
        <f t="shared" si="2"/>
        <v>0.62459704958006512</v>
      </c>
      <c r="E82" s="46"/>
      <c r="F82" s="46"/>
      <c r="G82" s="60">
        <f t="shared" si="3"/>
        <v>12</v>
      </c>
      <c r="H82" s="566"/>
      <c r="J82" s="566"/>
      <c r="K82" s="566"/>
    </row>
    <row r="83" spans="1:11" hidden="1" x14ac:dyDescent="0.25">
      <c r="A83" s="748"/>
      <c r="B83" s="529"/>
      <c r="C83" s="156">
        <f t="shared" si="1"/>
        <v>13</v>
      </c>
      <c r="D83" s="46">
        <f t="shared" si="2"/>
        <v>0.600574086134678</v>
      </c>
      <c r="E83" s="46"/>
      <c r="F83" s="46"/>
      <c r="G83" s="60">
        <f t="shared" si="3"/>
        <v>13</v>
      </c>
      <c r="H83" s="566"/>
      <c r="J83" s="566"/>
      <c r="K83" s="566"/>
    </row>
    <row r="84" spans="1:11" hidden="1" x14ac:dyDescent="0.25">
      <c r="A84" s="748"/>
      <c r="B84" s="529"/>
      <c r="C84" s="156">
        <f t="shared" si="1"/>
        <v>14</v>
      </c>
      <c r="D84" s="46">
        <f t="shared" si="2"/>
        <v>0.57747508282180582</v>
      </c>
      <c r="E84" s="46"/>
      <c r="F84" s="46"/>
      <c r="G84" s="60">
        <f t="shared" si="3"/>
        <v>14</v>
      </c>
      <c r="H84" s="566"/>
      <c r="J84" s="566"/>
      <c r="K84" s="566"/>
    </row>
    <row r="85" spans="1:11" hidden="1" x14ac:dyDescent="0.25">
      <c r="A85" s="748"/>
      <c r="B85" s="529"/>
      <c r="C85" s="156">
        <f t="shared" si="1"/>
        <v>15</v>
      </c>
      <c r="D85" s="46">
        <f t="shared" si="2"/>
        <v>0.55526450271327477</v>
      </c>
      <c r="E85" s="46"/>
      <c r="F85" s="46"/>
      <c r="G85" s="60">
        <f t="shared" si="3"/>
        <v>15</v>
      </c>
      <c r="H85" s="566"/>
      <c r="J85" s="566"/>
      <c r="K85" s="566"/>
    </row>
    <row r="86" spans="1:11" hidden="1" x14ac:dyDescent="0.25">
      <c r="A86" s="748"/>
      <c r="B86" s="529"/>
      <c r="C86" s="156">
        <f t="shared" si="1"/>
        <v>16</v>
      </c>
      <c r="D86" s="46">
        <f t="shared" si="2"/>
        <v>0.53390817568584104</v>
      </c>
      <c r="E86" s="46"/>
      <c r="F86" s="46"/>
      <c r="G86" s="60">
        <f t="shared" si="3"/>
        <v>16</v>
      </c>
      <c r="H86" s="566"/>
      <c r="J86" s="566"/>
      <c r="K86" s="566"/>
    </row>
    <row r="87" spans="1:11" hidden="1" x14ac:dyDescent="0.25">
      <c r="A87" s="748"/>
      <c r="B87" s="529"/>
      <c r="C87" s="156">
        <f t="shared" si="1"/>
        <v>17</v>
      </c>
      <c r="D87" s="46">
        <f t="shared" si="2"/>
        <v>0.51337324585177024</v>
      </c>
      <c r="E87" s="46"/>
      <c r="F87" s="46"/>
      <c r="G87" s="60">
        <f t="shared" si="3"/>
        <v>17</v>
      </c>
      <c r="H87" s="566"/>
      <c r="J87" s="566"/>
      <c r="K87" s="566"/>
    </row>
    <row r="88" spans="1:11" hidden="1" x14ac:dyDescent="0.25">
      <c r="A88" s="748"/>
      <c r="B88" s="529"/>
      <c r="C88" s="156">
        <f t="shared" si="1"/>
        <v>18</v>
      </c>
      <c r="D88" s="46">
        <f t="shared" si="2"/>
        <v>0.49362812101131748</v>
      </c>
      <c r="E88" s="46"/>
      <c r="F88" s="46"/>
      <c r="G88" s="60">
        <f t="shared" si="3"/>
        <v>18</v>
      </c>
      <c r="H88" s="566"/>
      <c r="J88" s="566"/>
      <c r="K88" s="566"/>
    </row>
    <row r="89" spans="1:11" hidden="1" x14ac:dyDescent="0.25">
      <c r="A89" s="748"/>
      <c r="B89" s="529"/>
      <c r="C89" s="156">
        <f t="shared" si="1"/>
        <v>19</v>
      </c>
      <c r="D89" s="46">
        <f t="shared" si="2"/>
        <v>0.47464242404934376</v>
      </c>
      <c r="E89" s="46"/>
      <c r="F89" s="46"/>
      <c r="G89" s="60">
        <f t="shared" si="3"/>
        <v>19</v>
      </c>
      <c r="H89" s="566"/>
      <c r="J89" s="566"/>
      <c r="K89" s="566"/>
    </row>
    <row r="90" spans="1:11" hidden="1" x14ac:dyDescent="0.25">
      <c r="A90" s="748"/>
      <c r="B90" s="529"/>
      <c r="C90" s="156">
        <f t="shared" si="1"/>
        <v>20</v>
      </c>
      <c r="D90" s="46">
        <f t="shared" si="2"/>
        <v>0.45638694620129205</v>
      </c>
      <c r="E90" s="46"/>
      <c r="F90" s="46"/>
      <c r="G90" s="60">
        <f t="shared" si="3"/>
        <v>20</v>
      </c>
      <c r="H90" s="566"/>
      <c r="J90" s="566"/>
      <c r="K90" s="566"/>
    </row>
    <row r="91" spans="1:11" hidden="1" x14ac:dyDescent="0.25">
      <c r="A91" s="748"/>
      <c r="B91" s="529"/>
      <c r="C91" s="156">
        <f t="shared" si="1"/>
        <v>21</v>
      </c>
      <c r="D91" s="46">
        <f t="shared" si="2"/>
        <v>0.43883360211662686</v>
      </c>
      <c r="E91" s="46"/>
      <c r="F91" s="46"/>
      <c r="G91" s="60">
        <f t="shared" si="3"/>
        <v>21</v>
      </c>
      <c r="H91" s="566"/>
      <c r="J91" s="566"/>
      <c r="K91" s="566"/>
    </row>
    <row r="92" spans="1:11" hidden="1" x14ac:dyDescent="0.25">
      <c r="A92" s="748"/>
      <c r="B92" s="529"/>
      <c r="C92" s="156">
        <f t="shared" si="1"/>
        <v>22</v>
      </c>
      <c r="D92" s="46">
        <f t="shared" si="2"/>
        <v>0.42195538665060278</v>
      </c>
      <c r="E92" s="46"/>
      <c r="F92" s="46"/>
      <c r="G92" s="60">
        <f t="shared" si="3"/>
        <v>22</v>
      </c>
      <c r="H92" s="566"/>
      <c r="J92" s="566"/>
      <c r="K92" s="566"/>
    </row>
    <row r="93" spans="1:11" hidden="1" x14ac:dyDescent="0.25">
      <c r="A93" s="748"/>
      <c r="B93" s="529"/>
      <c r="C93" s="156">
        <f t="shared" si="1"/>
        <v>23</v>
      </c>
      <c r="D93" s="46">
        <f t="shared" si="2"/>
        <v>0.40572633331788732</v>
      </c>
      <c r="E93" s="46"/>
      <c r="F93" s="46"/>
      <c r="G93" s="60">
        <f t="shared" si="3"/>
        <v>23</v>
      </c>
      <c r="H93" s="566"/>
      <c r="J93" s="566"/>
      <c r="K93" s="566"/>
    </row>
    <row r="94" spans="1:11" hidden="1" x14ac:dyDescent="0.25">
      <c r="A94" s="748"/>
      <c r="B94" s="529"/>
      <c r="C94" s="156">
        <f t="shared" si="1"/>
        <v>24</v>
      </c>
      <c r="D94" s="46">
        <f t="shared" si="2"/>
        <v>0.39012147434412242</v>
      </c>
      <c r="E94" s="46"/>
      <c r="F94" s="46"/>
      <c r="G94" s="60">
        <f t="shared" si="3"/>
        <v>24</v>
      </c>
      <c r="H94" s="566"/>
      <c r="J94" s="566"/>
      <c r="K94" s="566"/>
    </row>
    <row r="95" spans="1:11" hidden="1" x14ac:dyDescent="0.25">
      <c r="A95" s="748"/>
      <c r="B95" s="529"/>
      <c r="C95" s="156">
        <f t="shared" si="1"/>
        <v>25</v>
      </c>
      <c r="D95" s="46">
        <f t="shared" si="2"/>
        <v>0.37511680225396377</v>
      </c>
      <c r="E95" s="46"/>
      <c r="F95" s="46"/>
      <c r="G95" s="60">
        <f t="shared" si="3"/>
        <v>25</v>
      </c>
      <c r="H95" s="566"/>
      <c r="J95" s="566"/>
      <c r="K95" s="566"/>
    </row>
    <row r="96" spans="1:11" hidden="1" x14ac:dyDescent="0.25">
      <c r="A96" s="748"/>
      <c r="B96" s="529"/>
      <c r="G96" s="61"/>
      <c r="H96" s="804"/>
    </row>
    <row r="97" spans="3:7" hidden="1" x14ac:dyDescent="0.25"/>
    <row r="98" spans="3:7" hidden="1" x14ac:dyDescent="0.25">
      <c r="C98" s="141" t="s">
        <v>49</v>
      </c>
      <c r="D98" s="142" t="s">
        <v>47</v>
      </c>
      <c r="E98" s="806" t="s">
        <v>51</v>
      </c>
      <c r="F98" s="807"/>
      <c r="G98" s="807" t="s">
        <v>50</v>
      </c>
    </row>
    <row r="99" spans="3:7" hidden="1" x14ac:dyDescent="0.25">
      <c r="C99" s="141"/>
      <c r="D99" s="749"/>
      <c r="E99" s="141">
        <v>1</v>
      </c>
      <c r="F99" s="808">
        <v>1</v>
      </c>
      <c r="G99" s="566">
        <v>1</v>
      </c>
    </row>
    <row r="100" spans="3:7" hidden="1" x14ac:dyDescent="0.25">
      <c r="C100" s="141">
        <f>SUM(D$71:D71)</f>
        <v>0.96153846153846145</v>
      </c>
      <c r="D100" s="141">
        <v>1</v>
      </c>
      <c r="E100" s="141">
        <f t="shared" ref="E100:E124" si="4">((100+$D$31)/100)^C71</f>
        <v>1.05</v>
      </c>
      <c r="F100" s="808">
        <f>E100*D71</f>
        <v>1.0096153846153846</v>
      </c>
      <c r="G100" s="809">
        <f>SUM(F$100:F100)</f>
        <v>1.0096153846153846</v>
      </c>
    </row>
    <row r="101" spans="3:7" hidden="1" x14ac:dyDescent="0.25">
      <c r="C101" s="141">
        <f>SUM(D$71:D72)</f>
        <v>1.8860946745562128</v>
      </c>
      <c r="D101" s="141">
        <f t="shared" ref="D101:D124" si="5">D100+1</f>
        <v>2</v>
      </c>
      <c r="E101" s="141">
        <f t="shared" si="4"/>
        <v>1.1025</v>
      </c>
      <c r="F101" s="808">
        <f t="shared" ref="F101:F124" si="6">E101*D72</f>
        <v>1.0193232248520709</v>
      </c>
      <c r="G101" s="809">
        <f>SUM(F$100:F101)</f>
        <v>2.0289386094674553</v>
      </c>
    </row>
    <row r="102" spans="3:7" hidden="1" x14ac:dyDescent="0.25">
      <c r="C102" s="141">
        <f>SUM(D$71:D73)</f>
        <v>2.7750910332271275</v>
      </c>
      <c r="D102" s="141">
        <f t="shared" si="5"/>
        <v>3</v>
      </c>
      <c r="E102" s="141">
        <f t="shared" si="4"/>
        <v>1.1576250000000001</v>
      </c>
      <c r="F102" s="808">
        <f t="shared" si="6"/>
        <v>1.0291244097064178</v>
      </c>
      <c r="G102" s="809">
        <f>SUM(F$100:F102)</f>
        <v>3.0580630191738729</v>
      </c>
    </row>
    <row r="103" spans="3:7" hidden="1" x14ac:dyDescent="0.25">
      <c r="C103" s="141">
        <f>SUM(D$71:D74)</f>
        <v>3.6298952242568534</v>
      </c>
      <c r="D103" s="141">
        <f t="shared" si="5"/>
        <v>4</v>
      </c>
      <c r="E103" s="141">
        <f t="shared" si="4"/>
        <v>1.21550625</v>
      </c>
      <c r="F103" s="808">
        <f t="shared" si="6"/>
        <v>1.0390198367228256</v>
      </c>
      <c r="G103" s="809">
        <f>SUM(F$100:F103)</f>
        <v>4.0970828558966987</v>
      </c>
    </row>
    <row r="104" spans="3:7" hidden="1" x14ac:dyDescent="0.25">
      <c r="C104" s="141">
        <f>SUM(D$71:D75)</f>
        <v>4.4518223310162046</v>
      </c>
      <c r="D104" s="141">
        <f t="shared" si="5"/>
        <v>5</v>
      </c>
      <c r="E104" s="141">
        <f t="shared" si="4"/>
        <v>1.2762815625000001</v>
      </c>
      <c r="F104" s="808">
        <f t="shared" si="6"/>
        <v>1.0490104120759296</v>
      </c>
      <c r="G104" s="809">
        <f>SUM(F$100:F104)</f>
        <v>5.1460932679726286</v>
      </c>
    </row>
    <row r="105" spans="3:7" hidden="1" x14ac:dyDescent="0.25">
      <c r="C105" s="141">
        <f>SUM(D$71:D76)</f>
        <v>5.2421368567463507</v>
      </c>
      <c r="D105" s="141">
        <f t="shared" si="5"/>
        <v>6</v>
      </c>
      <c r="E105" s="141">
        <f t="shared" si="4"/>
        <v>1.340095640625</v>
      </c>
      <c r="F105" s="808">
        <f t="shared" si="6"/>
        <v>1.0590970506535826</v>
      </c>
      <c r="G105" s="809">
        <f>SUM(F$100:F105)</f>
        <v>6.2051903186262116</v>
      </c>
    </row>
    <row r="106" spans="3:7" hidden="1" x14ac:dyDescent="0.25">
      <c r="C106" s="141">
        <f>SUM(D$71:D77)</f>
        <v>6.0020546699484143</v>
      </c>
      <c r="D106" s="141">
        <f t="shared" si="5"/>
        <v>7</v>
      </c>
      <c r="E106" s="141">
        <f t="shared" si="4"/>
        <v>1.4071004226562502</v>
      </c>
      <c r="F106" s="808">
        <f t="shared" si="6"/>
        <v>1.0692806761406366</v>
      </c>
      <c r="G106" s="809">
        <f>SUM(F$100:F106)</f>
        <v>7.2744709947668484</v>
      </c>
    </row>
    <row r="107" spans="3:7" hidden="1" x14ac:dyDescent="0.25">
      <c r="C107" s="141">
        <f>SUM(D$71:D78)</f>
        <v>6.7327448749503978</v>
      </c>
      <c r="D107" s="141">
        <f t="shared" si="5"/>
        <v>8</v>
      </c>
      <c r="E107" s="141">
        <f t="shared" si="4"/>
        <v>1.4774554437890626</v>
      </c>
      <c r="F107" s="808">
        <f t="shared" si="6"/>
        <v>1.079562221103527</v>
      </c>
      <c r="G107" s="809">
        <f>SUM(F$100:F107)</f>
        <v>8.3540332158703752</v>
      </c>
    </row>
    <row r="108" spans="3:7" hidden="1" x14ac:dyDescent="0.25">
      <c r="C108" s="141">
        <f>SUM(D$71:D79)</f>
        <v>7.4353316105292286</v>
      </c>
      <c r="D108" s="141">
        <f t="shared" si="5"/>
        <v>9</v>
      </c>
      <c r="E108" s="141">
        <f t="shared" si="4"/>
        <v>1.5513282159785158</v>
      </c>
      <c r="F108" s="808">
        <f t="shared" si="6"/>
        <v>1.0899426270756762</v>
      </c>
      <c r="G108" s="809">
        <f>SUM(F$100:F108)</f>
        <v>9.4439758429460507</v>
      </c>
    </row>
    <row r="109" spans="3:7" hidden="1" x14ac:dyDescent="0.25">
      <c r="C109" s="141">
        <f>SUM(D$71:D80)</f>
        <v>8.1108957793550278</v>
      </c>
      <c r="D109" s="141">
        <f t="shared" si="5"/>
        <v>10</v>
      </c>
      <c r="E109" s="141">
        <f t="shared" si="4"/>
        <v>1.6288946267774416</v>
      </c>
      <c r="F109" s="808">
        <f t="shared" si="6"/>
        <v>1.1004228446437117</v>
      </c>
      <c r="G109" s="809">
        <f>SUM(F$100:F109)</f>
        <v>10.544398687589762</v>
      </c>
    </row>
    <row r="110" spans="3:7" hidden="1" x14ac:dyDescent="0.25">
      <c r="C110" s="141">
        <f>SUM(D$71:D81)</f>
        <v>8.7604767109182955</v>
      </c>
      <c r="D110" s="141">
        <f t="shared" si="5"/>
        <v>11</v>
      </c>
      <c r="E110" s="141">
        <f t="shared" si="4"/>
        <v>1.7103393581163138</v>
      </c>
      <c r="F110" s="808">
        <f t="shared" si="6"/>
        <v>1.1110038335345167</v>
      </c>
      <c r="G110" s="809">
        <f>SUM(F$100:F110)</f>
        <v>11.655402521124278</v>
      </c>
    </row>
    <row r="111" spans="3:7" hidden="1" x14ac:dyDescent="0.25">
      <c r="C111" s="141">
        <f>SUM(D$71:D82)</f>
        <v>9.3850737604983614</v>
      </c>
      <c r="D111" s="141">
        <f t="shared" si="5"/>
        <v>12</v>
      </c>
      <c r="E111" s="141">
        <f t="shared" si="4"/>
        <v>1.7958563260221292</v>
      </c>
      <c r="F111" s="808">
        <f t="shared" si="6"/>
        <v>1.1216865627031174</v>
      </c>
      <c r="G111" s="809">
        <f>SUM(F$100:F111)</f>
        <v>12.777089083827395</v>
      </c>
    </row>
    <row r="112" spans="3:7" hidden="1" x14ac:dyDescent="0.25">
      <c r="C112" s="141">
        <f>SUM(D$71:D83)</f>
        <v>9.9856478466330394</v>
      </c>
      <c r="D112" s="141">
        <f t="shared" si="5"/>
        <v>13</v>
      </c>
      <c r="E112" s="141">
        <f t="shared" si="4"/>
        <v>1.885649142323236</v>
      </c>
      <c r="F112" s="808">
        <f t="shared" si="6"/>
        <v>1.1324720104214168</v>
      </c>
      <c r="G112" s="809">
        <f>SUM(F$100:F112)</f>
        <v>13.909561094248811</v>
      </c>
    </row>
    <row r="113" spans="3:7" hidden="1" x14ac:dyDescent="0.25">
      <c r="C113" s="141">
        <f>SUM(D$71:D84)</f>
        <v>10.563122929454845</v>
      </c>
      <c r="D113" s="141">
        <f t="shared" si="5"/>
        <v>14</v>
      </c>
      <c r="E113" s="141">
        <f t="shared" si="4"/>
        <v>1.9799315994393973</v>
      </c>
      <c r="F113" s="808">
        <f t="shared" si="6"/>
        <v>1.1433611643677764</v>
      </c>
      <c r="G113" s="809">
        <f>SUM(F$100:F113)</f>
        <v>15.052922258616588</v>
      </c>
    </row>
    <row r="114" spans="3:7" hidden="1" x14ac:dyDescent="0.25">
      <c r="C114" s="141">
        <f>SUM(D$71:D85)</f>
        <v>11.11838743216812</v>
      </c>
      <c r="D114" s="141">
        <f t="shared" si="5"/>
        <v>15</v>
      </c>
      <c r="E114" s="141">
        <f t="shared" si="4"/>
        <v>2.0789281794113679</v>
      </c>
      <c r="F114" s="808">
        <f t="shared" si="6"/>
        <v>1.1543550217174667</v>
      </c>
      <c r="G114" s="809">
        <f>SUM(F$100:F114)</f>
        <v>16.207277280334054</v>
      </c>
    </row>
    <row r="115" spans="3:7" hidden="1" x14ac:dyDescent="0.25">
      <c r="C115" s="141">
        <f>SUM(D$71:D86)</f>
        <v>11.652295607853961</v>
      </c>
      <c r="D115" s="141">
        <f t="shared" si="5"/>
        <v>16</v>
      </c>
      <c r="E115" s="141">
        <f t="shared" si="4"/>
        <v>2.182874588381936</v>
      </c>
      <c r="F115" s="808">
        <f t="shared" si="6"/>
        <v>1.1654545892339807</v>
      </c>
      <c r="G115" s="809">
        <f>SUM(F$100:F115)</f>
        <v>17.372731869568035</v>
      </c>
    </row>
    <row r="116" spans="3:7" hidden="1" x14ac:dyDescent="0.25">
      <c r="C116" s="141">
        <f>SUM(D$71:D87)</f>
        <v>12.165668853705732</v>
      </c>
      <c r="D116" s="141">
        <f t="shared" si="5"/>
        <v>17</v>
      </c>
      <c r="E116" s="141">
        <f t="shared" si="4"/>
        <v>2.2920183178010332</v>
      </c>
      <c r="F116" s="808">
        <f t="shared" si="6"/>
        <v>1.1766608833612306</v>
      </c>
      <c r="G116" s="809">
        <f>SUM(F$100:F116)</f>
        <v>18.549392752929265</v>
      </c>
    </row>
    <row r="117" spans="3:7" hidden="1" x14ac:dyDescent="0.25">
      <c r="C117" s="141">
        <f>SUM(D$71:D88)</f>
        <v>12.65929697471705</v>
      </c>
      <c r="D117" s="141">
        <f t="shared" si="5"/>
        <v>18</v>
      </c>
      <c r="E117" s="141">
        <f t="shared" si="4"/>
        <v>2.4066192336910848</v>
      </c>
      <c r="F117" s="808">
        <f t="shared" si="6"/>
        <v>1.1879749303166269</v>
      </c>
      <c r="G117" s="809">
        <f>SUM(F$100:F117)</f>
        <v>19.737367683245893</v>
      </c>
    </row>
    <row r="118" spans="3:7" hidden="1" x14ac:dyDescent="0.25">
      <c r="C118" s="141">
        <f>SUM(D$71:D89)</f>
        <v>13.133939398766394</v>
      </c>
      <c r="D118" s="141">
        <f t="shared" si="5"/>
        <v>19</v>
      </c>
      <c r="E118" s="141">
        <f t="shared" si="4"/>
        <v>2.526950195375639</v>
      </c>
      <c r="F118" s="808">
        <f t="shared" si="6"/>
        <v>1.1993977661850561</v>
      </c>
      <c r="G118" s="809">
        <f>SUM(F$100:F118)</f>
        <v>20.936765449430951</v>
      </c>
    </row>
    <row r="119" spans="3:7" hidden="1" x14ac:dyDescent="0.25">
      <c r="C119" s="141">
        <f>SUM(D$71:D90)</f>
        <v>13.590326344967686</v>
      </c>
      <c r="D119" s="141">
        <f t="shared" si="5"/>
        <v>20</v>
      </c>
      <c r="E119" s="141">
        <f t="shared" si="4"/>
        <v>2.6532977051444209</v>
      </c>
      <c r="F119" s="808">
        <f t="shared" si="6"/>
        <v>1.2109304370137586</v>
      </c>
      <c r="G119" s="809">
        <f>SUM(F$100:F119)</f>
        <v>22.147695886444708</v>
      </c>
    </row>
    <row r="120" spans="3:7" hidden="1" x14ac:dyDescent="0.25">
      <c r="C120" s="141">
        <f>SUM(D$71:D91)</f>
        <v>14.029159947084313</v>
      </c>
      <c r="D120" s="141">
        <f t="shared" si="5"/>
        <v>21</v>
      </c>
      <c r="E120" s="141">
        <f t="shared" si="4"/>
        <v>2.7859625904016418</v>
      </c>
      <c r="F120" s="808">
        <f t="shared" si="6"/>
        <v>1.2225739989081212</v>
      </c>
      <c r="G120" s="809">
        <f>SUM(F$100:F120)</f>
        <v>23.37026988535283</v>
      </c>
    </row>
    <row r="121" spans="3:7" hidden="1" x14ac:dyDescent="0.25">
      <c r="C121" s="141">
        <f>SUM(D$71:D92)</f>
        <v>14.451115333734917</v>
      </c>
      <c r="D121" s="141">
        <f t="shared" si="5"/>
        <v>22</v>
      </c>
      <c r="E121" s="141">
        <f t="shared" si="4"/>
        <v>2.9252607199217238</v>
      </c>
      <c r="F121" s="808">
        <f t="shared" si="6"/>
        <v>1.2343295181283915</v>
      </c>
      <c r="G121" s="809">
        <f>SUM(F$100:F121)</f>
        <v>24.60459940348122</v>
      </c>
    </row>
    <row r="122" spans="3:7" hidden="1" x14ac:dyDescent="0.25">
      <c r="C122" s="141">
        <f>SUM(D$71:D93)</f>
        <v>14.856841667052803</v>
      </c>
      <c r="D122" s="141">
        <f t="shared" si="5"/>
        <v>23</v>
      </c>
      <c r="E122" s="141">
        <f t="shared" si="4"/>
        <v>3.0715237559178106</v>
      </c>
      <c r="F122" s="808">
        <f t="shared" si="6"/>
        <v>1.2461980711873188</v>
      </c>
      <c r="G122" s="809">
        <f>SUM(F$100:F122)</f>
        <v>25.850797474668539</v>
      </c>
    </row>
    <row r="123" spans="3:7" hidden="1" x14ac:dyDescent="0.25">
      <c r="C123" s="141">
        <f>SUM(D$71:D94)</f>
        <v>15.246963141396925</v>
      </c>
      <c r="D123" s="141">
        <f t="shared" si="5"/>
        <v>24</v>
      </c>
      <c r="E123" s="141">
        <f t="shared" si="4"/>
        <v>3.2250999437137007</v>
      </c>
      <c r="F123" s="808">
        <f t="shared" si="6"/>
        <v>1.2581807449487352</v>
      </c>
      <c r="G123" s="809">
        <f>SUM(F$100:F123)</f>
        <v>27.108978219617274</v>
      </c>
    </row>
    <row r="124" spans="3:7" hidden="1" x14ac:dyDescent="0.25">
      <c r="C124" s="141">
        <f>SUM(D$71:D95)</f>
        <v>15.622079943650888</v>
      </c>
      <c r="D124" s="141">
        <f t="shared" si="5"/>
        <v>25</v>
      </c>
      <c r="E124" s="141">
        <f t="shared" si="4"/>
        <v>3.3863549408993858</v>
      </c>
      <c r="F124" s="808">
        <f t="shared" si="6"/>
        <v>1.270278636727088</v>
      </c>
      <c r="G124" s="809">
        <f>SUM(F$100:F124)</f>
        <v>28.379256856344362</v>
      </c>
    </row>
    <row r="125" spans="3:7" hidden="1" x14ac:dyDescent="0.25"/>
    <row r="126" spans="3:7" hidden="1" x14ac:dyDescent="0.25"/>
    <row r="127" spans="3:7" hidden="1" x14ac:dyDescent="0.25"/>
    <row r="128" spans="3:7" hidden="1" x14ac:dyDescent="0.25"/>
    <row r="129" hidden="1" x14ac:dyDescent="0.25"/>
    <row r="130" hidden="1" x14ac:dyDescent="0.25"/>
    <row r="131" hidden="1" x14ac:dyDescent="0.25"/>
    <row r="132" hidden="1" x14ac:dyDescent="0.25"/>
    <row r="133" hidden="1" x14ac:dyDescent="0.25"/>
    <row r="134" hidden="1" x14ac:dyDescent="0.25"/>
  </sheetData>
  <sheetProtection algorithmName="SHA-512" hashValue="gV4Zh09FHwE0XINnuQUEw7ds6hwdmIwOiMngmYoE5vtyMCHiwW67PgiKUjnM9G9k38HDQlJWj+qdUHtijRgFVg==" saltValue="0T/F0U8DiRzEyJp8tXfVhw==" spinCount="100000" sheet="1" objects="1" scenarios="1"/>
  <mergeCells count="4">
    <mergeCell ref="F1:H1"/>
    <mergeCell ref="C3:H3"/>
    <mergeCell ref="C50:I50"/>
    <mergeCell ref="A58:C58"/>
  </mergeCells>
  <conditionalFormatting sqref="D21">
    <cfRule type="expression" dxfId="2" priority="1">
      <formula>#REF!="Norge"</formula>
    </cfRule>
  </conditionalFormatting>
  <dataValidations count="6">
    <dataValidation allowBlank="1" showInputMessage="1" showErrorMessage="1" prompt="Standard: 12 år" sqref="D26"/>
    <dataValidation allowBlank="1" showInputMessage="1" showErrorMessage="1" prompt="Standard: 7 år" sqref="E26:F26"/>
    <dataValidation allowBlank="1" showInputMessage="1" showErrorMessage="1" prompt="Standard: 4,05" sqref="D32"/>
    <dataValidation type="list" showInputMessage="1" errorTitle="Feil verdi" error="Analyseperioden må være mellom 0 og 25 år" promptTitle="Standard: 10 år" prompt="Mellom 0 og 25 år." sqref="D17">
      <formula1>$J$33:$J$34</formula1>
    </dataValidation>
    <dataValidation allowBlank="1" showInputMessage="1" showErrorMessage="1" promptTitle="Beskrivelse av tiltaket" prompt="Her kan man for eksempel beskrive tiltaket og de viktigste beregningsforutsetningene, legge inn kommentarer, …" sqref="C3:H3"/>
    <dataValidation allowBlank="1" showInputMessage="1" showErrorMessage="1" promptTitle="Hva heter tiltaket?" prompt="Her kan man skrive inn hva tiltaket heter." sqref="F1:H1"/>
  </dataValidations>
  <pageMargins left="0.70866141732283472" right="0.39370078740157483" top="0.78740157480314965" bottom="0.78740157480314965" header="0.31496062992125984" footer="0.31496062992125984"/>
  <pageSetup paperSize="9" scale="78" fitToHeight="0" orientation="landscape" r:id="rId1"/>
  <headerFooter>
    <oddFooter>&amp;LITS-Virkningsberegninger
TØI-Rapport 1289/2013&amp;C&amp;"-,Fet"&amp;12&amp;A&amp;RSide &amp;P</oddFooter>
  </headerFooter>
  <rowBreaks count="3" manualBreakCount="3">
    <brk id="14" max="16383" man="1"/>
    <brk id="33" max="16383" man="1"/>
    <brk id="4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13</vt:i4>
      </vt:variant>
    </vt:vector>
  </HeadingPairs>
  <TitlesOfParts>
    <vt:vector size="13" baseType="lpstr">
      <vt:lpstr>Bruksanvisning</vt:lpstr>
      <vt:lpstr>Oversikt over tiltak</vt:lpstr>
      <vt:lpstr>1 Fartsregulerende tiltak 1</vt:lpstr>
      <vt:lpstr>1 Fartsreg. tiltak veiledning</vt:lpstr>
      <vt:lpstr>2 Fartsregulerende tiltak 2</vt:lpstr>
      <vt:lpstr>3 Køvarsling</vt:lpstr>
      <vt:lpstr>4 Gang- og sykkelvarsling</vt:lpstr>
      <vt:lpstr>5 Kollektivtrafikkprioritering</vt:lpstr>
      <vt:lpstr>6 Sanntidsinformasjon</vt:lpstr>
      <vt:lpstr>Data-beregninger</vt:lpstr>
      <vt:lpstr>Indeksjustering</vt:lpstr>
      <vt:lpstr>Miljøberegning køvarsling</vt:lpstr>
      <vt:lpstr>Miljøberegning tilfartskontroll</vt:lpstr>
    </vt:vector>
  </TitlesOfParts>
  <Company>Transportøkonomisk institutt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alh</dc:creator>
  <cp:lastModifiedBy>tcr </cp:lastModifiedBy>
  <cp:lastPrinted>2014-11-04T15:11:59Z</cp:lastPrinted>
  <dcterms:created xsi:type="dcterms:W3CDTF">2012-12-27T09:08:33Z</dcterms:created>
  <dcterms:modified xsi:type="dcterms:W3CDTF">2014-11-05T07:21:25Z</dcterms:modified>
</cp:coreProperties>
</file>